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tabRatio="946" activeTab="0"/>
  </bookViews>
  <sheets>
    <sheet name="DATA" sheetId="1" r:id="rId1"/>
    <sheet name="PROCEEDINGS" sheetId="2" r:id="rId2"/>
    <sheet name="Bill" sheetId="3" r:id="rId3"/>
    <sheet name="FORM 47" sheetId="4" r:id="rId4"/>
    <sheet name="47-OUTERBACK" sheetId="5" r:id="rId5"/>
    <sheet name="FORM-101" sheetId="6" r:id="rId6"/>
    <sheet name="PAPER TOKEN" sheetId="7" r:id="rId7"/>
    <sheet name="P. TAX" sheetId="8" r:id="rId8"/>
    <sheet name="GPFZPPF" sheetId="9" r:id="rId9"/>
    <sheet name="ANX-1" sheetId="10" r:id="rId10"/>
    <sheet name="ANX-2" sheetId="11" r:id="rId11"/>
    <sheet name="ANX-3" sheetId="12" r:id="rId12"/>
    <sheet name="FORM 49" sheetId="13" r:id="rId13"/>
    <sheet name="FORM 49 BACK" sheetId="14" r:id="rId14"/>
  </sheets>
  <externalReferences>
    <externalReference r:id="rId17"/>
  </externalReferences>
  <definedNames>
    <definedName name="_xlfn.BAHTTEXT" hidden="1">#NAME?</definedName>
  </definedNames>
  <calcPr fullCalcOnLoad="1"/>
</workbook>
</file>

<file path=xl/comments1.xml><?xml version="1.0" encoding="utf-8"?>
<comments xmlns="http://schemas.openxmlformats.org/spreadsheetml/2006/main">
  <authors>
    <author>MURALI</author>
  </authors>
  <commentList>
    <comment ref="B53" authorId="0">
      <text>
        <r>
          <rPr>
            <b/>
            <sz val="8"/>
            <rFont val="Tahoma"/>
            <family val="0"/>
          </rPr>
          <t>MURALI:</t>
        </r>
        <r>
          <rPr>
            <sz val="8"/>
            <rFont val="Tahoma"/>
            <family val="0"/>
          </rPr>
          <t xml:space="preserve">
SELECT MONTH
6-JUNE
7-JULY
8-AUGUST
9-SEPTEMBER
10-OCTOBER</t>
        </r>
      </text>
    </comment>
  </commentList>
</comments>
</file>

<file path=xl/sharedStrings.xml><?xml version="1.0" encoding="utf-8"?>
<sst xmlns="http://schemas.openxmlformats.org/spreadsheetml/2006/main" count="504" uniqueCount="396">
  <si>
    <t xml:space="preserve">MODIFIED AUTOMATIC ADVANCEMENT SCHEME </t>
  </si>
  <si>
    <t>NAME OF THE TEACHER</t>
  </si>
  <si>
    <t>DESIGNATION</t>
  </si>
  <si>
    <t>EMPLOYEE ID</t>
  </si>
  <si>
    <t>ZPPF NO</t>
  </si>
  <si>
    <t>APGLI NO</t>
  </si>
  <si>
    <t>BANK ACCOUNT NO</t>
  </si>
  <si>
    <t>APGLI SUBSCRIPTION</t>
  </si>
  <si>
    <t>BANK NAME</t>
  </si>
  <si>
    <t>LINK BANK NAME</t>
  </si>
  <si>
    <t>TREASURY NAME</t>
  </si>
  <si>
    <t>TREASURY CODE</t>
  </si>
  <si>
    <t>DDO CODE</t>
  </si>
  <si>
    <t>DDO NAME</t>
  </si>
  <si>
    <t>DDO'S DESIGNATION</t>
  </si>
  <si>
    <t>GOVT. BANK NAME</t>
  </si>
  <si>
    <t>GOVT. BANK CODE</t>
  </si>
  <si>
    <t>MESSENGER NAME</t>
  </si>
  <si>
    <t>MESSENGER DESIGNATION</t>
  </si>
  <si>
    <t xml:space="preserve">DATE OF JOINING </t>
  </si>
  <si>
    <t>DATE OF COMPLETION OF 6 YEARS</t>
  </si>
  <si>
    <t>E.O.L. IF ANY( No. of days)</t>
  </si>
  <si>
    <t>SELECT APPROPRIATE MODIFIED AUTOMATIC ADVANCE SCHEME THAT YOU ARE ELIGIBLE FOR</t>
  </si>
  <si>
    <t>BASIC PAY AS ON 1.2.2010</t>
  </si>
  <si>
    <t>SCALE OF PAY</t>
  </si>
  <si>
    <t>BASIC PAY AFER SANCTIONING ONE INCREMENT</t>
  </si>
  <si>
    <t>SCALE OF PAY IN AFTER SANCTIONING AAS</t>
  </si>
  <si>
    <t>6700-200-7300-220-7960-240-8680-260-9460-280-10300-300-11200-330-12190-360-13270-390-14440-420-15700-450-17050-490-18520-530-20110</t>
  </si>
  <si>
    <t>6900-200-7300-220-7960-240-8680-260-9460-280-10300-300-11200-330-12190-360-13270-390-14440-420-15700-450-17050-490-18520-530-20110-570-20680</t>
  </si>
  <si>
    <t>7100-200-7300-220-7960-240-8680-260-9460-280-10300-300-11200-330-12190-360-13270-390-14440-420-15700-450-17050-490-18520-530-20110-570-21250</t>
  </si>
  <si>
    <t>7520-220-7960-240-8680-260-9460-280-10300-300-11200-330-12190-360-13270-390-14440-420-15700-450-17050-490-18520-530-20110-570-21820-610-22430</t>
  </si>
  <si>
    <t>7740-220-7960-240-8680-260-9460-280-10300-300-11200-330-12190-360-13270-390-14440-420-15700-450-17050-490-18520-530-20110-570-21820-610-23040</t>
  </si>
  <si>
    <t>7960-240-8680-260-9460-280-10300-300-11200-330-12190-360-13270-390-14440-420-15700-450-17050-490-18520-530-20110-570-21820-610-23650</t>
  </si>
  <si>
    <t>8440-240-8680-260-9460-280-10300-300-11200-330-12190-360-13270-390-14440-420-15700-450-17050-490-18520-530-20110-570-21820-610-23650-650-24950</t>
  </si>
  <si>
    <t>9200-260-260-9460-280-10300-300-11200-330-12190-360-13270-390-14440-420-15700-450-17050-490-18520-530-20110-570-21820-610-23650-650-25600-700-27000</t>
  </si>
  <si>
    <t>9460-280-10300-300-11200-330-12190-360-13270-390-14440-420-15700-450-17050-490-18520-530-20110-570-21820-610-23650-650-25600-700-27700</t>
  </si>
  <si>
    <t>10020-280-10300-300-11200-330-12190-360-13270-390-14440-420-15700-450-17050-490-18520-530-20110-570-21820-610-23650-650-25600-700-27700-750-29200</t>
  </si>
  <si>
    <t>10900-300-11200-330-12190-360-13270-390-14440-420-15700-450-17050-490-18520-530-20110-570-21820-610-23650-650-25600-700-27700-750-29950-800-31550</t>
  </si>
  <si>
    <t>11530-300-11200-330-12190-360-13270-390-14440-420-15700-450-17050-490-18520-530-20110-570-21820-610-23650-650-25600-700-27700-750-29950-800-32350-850-33200</t>
  </si>
  <si>
    <t>11860-330-12190-360-13270-390-14440-420-15700-450-17050-490-18520-530-20110-570-21820-610-23650-650-25600-700-27700-750-29950-800-32350-850-34050</t>
  </si>
  <si>
    <t>12550-360-13270-390-14440-420-15700-450-17050-490-18520-530-20110-570-21820-610-23650-650-25600-700-27700-750-29950-800-32350-850-34900-900-35800</t>
  </si>
  <si>
    <t>12910-360-13270-390-14440-420-15700-450-17050-490-18520-530-20110-570-21820-610-23650-650-25600-700-27700-750-29950-800-32350-850-34900-900-36700</t>
  </si>
  <si>
    <t>13660-390-14440-420-15700-450-17050-490-18520-530-20110-570-21820-610-23650-650-25600-700-27700-750-29950-800-32350-850-34900-900-37600-970-38570</t>
  </si>
  <si>
    <t>14860-420-15700-450-17050-490-18520-530-20110-570-21820-610-23650-650-25600-700-27700-750-29950-800-32350-850-34900-900-37600-970-39540</t>
  </si>
  <si>
    <t>15280-420-15700-450-17050-490-18520-530-20110-570-21820-610-23650-650-25600-700-27700-750-29950-800-32350-850-34900-900-37600-970-40510</t>
  </si>
  <si>
    <t>16150-450-17050-490-18520-530-20110-570-21820-610-23650-650-25600-700-27700-750-29950-800-32350-850-34900-900-37600-970-40510-1040-42590</t>
  </si>
  <si>
    <t>18030-490-18520-530-20110-570-21820-610-23650-650-25600-700-27700-750-29950-800-32350-850-34900-900-37600-970-40510-1040-43630</t>
  </si>
  <si>
    <t>19050-530-20110-570-21820-610-23650-650-25600-700-27700-750-29950-800-32350-850-34900-900-37600-970-40510-1040-43630-1110-45850</t>
  </si>
  <si>
    <t>20680-570-21820-610-23650-650-25600-700-27700-750-29950-800-32350-850-34900-900-37600-970-40510-1040-43630-1110-46960</t>
  </si>
  <si>
    <t>21820-610-23650-650-25600-700-27700-750-29950-800-32350-850-34900-900-37600-970-40510-1040-43630-1110-46960-1200-48160</t>
  </si>
  <si>
    <t>23650-650-25600-700-27700-750-29950-800-32350-850-34900-900-37600-970-40510-1040-43630-1110-46960-1200-49360</t>
  </si>
  <si>
    <t>25600-700-27700-750-29950-800-32350-850-34900-900-37600-970-40510-1040-43630-1110-46960-1200-50560</t>
  </si>
  <si>
    <t>27000-750-29950-800-32350-850-34900-900-37600-970-40510-1040-43630-1110-46960-1200-51760</t>
  </si>
  <si>
    <t>29200-750-29950-800-32350-850-34900-900-37600-970-40510-1040-43630-1110-46960-1200-51760-1300-53060</t>
  </si>
  <si>
    <t>31550-800-32350-850-34900-900-37600-970-40510-1040-43630-1110-46960-1200-51760-1300-53060</t>
  </si>
  <si>
    <t>34050-800-32350-850-34900-900-37600-970-40510-1040-43630-1110-46960-1200-51760-1300-54360</t>
  </si>
  <si>
    <t>37600-970-40510-1040-43630-1110-46960-1200-51760-1300-54360</t>
  </si>
  <si>
    <t>41550-1040-43630-1110-46960-1200-51760-1300-55660</t>
  </si>
  <si>
    <t>44740-1110-46960-1200-51760-1300-55660</t>
  </si>
  <si>
    <t>MANDAL/SCHOOL</t>
  </si>
  <si>
    <t>PROCEEDINGS Rc. No.</t>
  </si>
  <si>
    <t>PROCEEDINGS DATE</t>
  </si>
  <si>
    <t>MANGEMENT</t>
  </si>
  <si>
    <t>MANDAL PARISHAD</t>
  </si>
  <si>
    <t>ZILLA PARISHAD</t>
  </si>
  <si>
    <t>Ref: 1.G.O.Ms.No.52,Finance(PC.1) Department,Dt.25.02.2010</t>
  </si>
  <si>
    <t xml:space="preserve">       2.G.O. Ms. No. 93,Finance(PC-1) Department,Dt. 3.4.2010</t>
  </si>
  <si>
    <t xml:space="preserve">       3.G.O. Ms. No. 40,Education Department,Dt. 7.5.2010</t>
  </si>
  <si>
    <t xml:space="preserve">       4.G.O.Ms.No:38,Edn(S.E-SER.III)Dept,Dt:26.5.2007</t>
  </si>
  <si>
    <t xml:space="preserve">       5. G.O. Ms. No. 96, Finance(PC-II ) Department, Dated : 20/5/2011</t>
  </si>
  <si>
    <t xml:space="preserve">       6.Application of the Individual </t>
  </si>
  <si>
    <t>ORDER:</t>
  </si>
  <si>
    <t>In the reference cited 5 above, Government issued orders changing</t>
  </si>
  <si>
    <t>the periodicity of Automatic Advancement Scheme from the exisiting 8/16/24</t>
  </si>
  <si>
    <t>to 6/12/18/24 years for appointments under the Automatic Advancement scheme.</t>
  </si>
  <si>
    <t>It is also ordered that Modified Automatic Advancement Scheme will come into</t>
  </si>
  <si>
    <t>force w.e.f. 1.2.2010.</t>
  </si>
  <si>
    <t>S.G.T</t>
  </si>
  <si>
    <t>individual is eligible into</t>
  </si>
  <si>
    <t>:</t>
  </si>
  <si>
    <t xml:space="preserve">Name of the teacher: </t>
  </si>
  <si>
    <t>Designation:</t>
  </si>
  <si>
    <t>Date of first appointment:</t>
  </si>
  <si>
    <t>E.O. L. if any:</t>
  </si>
  <si>
    <t>years of service:</t>
  </si>
  <si>
    <t>Date from which the</t>
  </si>
  <si>
    <t>Scale of pay in the present</t>
  </si>
  <si>
    <t>post</t>
  </si>
  <si>
    <t xml:space="preserve">Pay as on </t>
  </si>
  <si>
    <t>Pay after sanctioning</t>
  </si>
  <si>
    <t>Scale of Pay after appointment</t>
  </si>
  <si>
    <t>Pay after sanctioning normal</t>
  </si>
  <si>
    <t>Date of next increment :</t>
  </si>
  <si>
    <t xml:space="preserve">          Any audit objection arise in future in the above fixation excess amount shall be recovered in lumpsum without any prior notice. The above fixation made in Service Register of the Individual.</t>
  </si>
  <si>
    <t>Copy to:</t>
  </si>
  <si>
    <t>1.The Individual</t>
  </si>
  <si>
    <t>3.The Bill</t>
  </si>
  <si>
    <t>Monetary benefit w.e.f</t>
  </si>
  <si>
    <t>Signature of the D.D.O</t>
  </si>
  <si>
    <t>STO,DARSI</t>
  </si>
  <si>
    <t>PERIOD</t>
  </si>
  <si>
    <t>FROM</t>
  </si>
  <si>
    <t>TO</t>
  </si>
  <si>
    <t>ELIGIBLE</t>
  </si>
  <si>
    <t>PAY</t>
  </si>
  <si>
    <t>DA</t>
  </si>
  <si>
    <t>HRA</t>
  </si>
  <si>
    <t>TOTAL</t>
  </si>
  <si>
    <t>DRAWN</t>
  </si>
  <si>
    <t>DIFFERENCE</t>
  </si>
  <si>
    <t>P. TAX</t>
  </si>
  <si>
    <t>CPS</t>
  </si>
  <si>
    <t>Z.P.P.F</t>
  </si>
  <si>
    <t>TOTAL DEDUCTIONS</t>
  </si>
  <si>
    <t>NET AMOUNT</t>
  </si>
  <si>
    <t>NO. OF DAYS</t>
  </si>
  <si>
    <t>DOES YOUR MODIFIED A.A.S. COMES ON 1/2/2010 or AFTER 1/2/2010( 0-1/2/2010, 1-AFTER 1/2/2010)</t>
  </si>
  <si>
    <t>FROM 1/6/2011 ONWARDS TO BE PAID IN CASH</t>
  </si>
  <si>
    <t>BILL CLAIMED UPTO MONTH</t>
  </si>
  <si>
    <t>DATE OF FIRST INCREMENT</t>
  </si>
  <si>
    <t>DATE OF SECOND INCREMENT</t>
  </si>
  <si>
    <t>PAY AFTER FIRST INCREMENT</t>
  </si>
  <si>
    <t>PAY AFTER SECOND INCREMENT</t>
  </si>
  <si>
    <t>H.R.A. PERCENTAGE</t>
  </si>
  <si>
    <t>CASH TOTAL</t>
  </si>
  <si>
    <t>CSS</t>
  </si>
  <si>
    <t>NATURE OF SAVINGS (1-GPF,2-ZPPF,3-CPS/CSS)</t>
  </si>
  <si>
    <t>PAY BILL FOR ARREARS OF MODIFIED AUTOMATIC ADVANCEMENT SCHEME</t>
  </si>
  <si>
    <t>38/2011</t>
  </si>
  <si>
    <t>Pay Bill for the Month &amp; Year</t>
  </si>
  <si>
    <t xml:space="preserve">Treasury / P.A.O Code </t>
  </si>
  <si>
    <t xml:space="preserve">                          For office use only</t>
  </si>
  <si>
    <t xml:space="preserve">D.D.O.Code </t>
  </si>
  <si>
    <t xml:space="preserve">                                     Date:______________</t>
  </si>
  <si>
    <t>DDO Designation</t>
  </si>
  <si>
    <t xml:space="preserve">  Trans ID:</t>
  </si>
  <si>
    <t xml:space="preserve">                           </t>
  </si>
  <si>
    <t>BANK CODE</t>
  </si>
  <si>
    <t xml:space="preserve">                                      </t>
  </si>
  <si>
    <t>DDOs TBR No.</t>
  </si>
  <si>
    <t xml:space="preserve">   Dist</t>
  </si>
  <si>
    <t xml:space="preserve">    DDO Office Name :</t>
  </si>
  <si>
    <t xml:space="preserve">    Name of the Bank : </t>
  </si>
  <si>
    <t>Head of Account</t>
  </si>
  <si>
    <t>Deductions</t>
  </si>
  <si>
    <t>Amount</t>
  </si>
  <si>
    <t xml:space="preserve">Major Head </t>
  </si>
  <si>
    <t>G.P.F/AIS/PF</t>
  </si>
  <si>
    <t>Rs.</t>
  </si>
  <si>
    <t>General Education</t>
  </si>
  <si>
    <t>Sub Major</t>
  </si>
  <si>
    <t>APGLI</t>
  </si>
  <si>
    <t xml:space="preserve">Minor Head </t>
  </si>
  <si>
    <t>Group Insurance/AIS</t>
  </si>
  <si>
    <t>Assistance to Local Bodies for Primary Education</t>
  </si>
  <si>
    <t>Group Sub-Head</t>
  </si>
  <si>
    <t>X</t>
  </si>
  <si>
    <t>Professional Tax</t>
  </si>
  <si>
    <t>Sub Head</t>
  </si>
  <si>
    <t>House Rent</t>
  </si>
  <si>
    <t>Teaching grant to MP's</t>
  </si>
  <si>
    <t>Detail Head</t>
  </si>
  <si>
    <t>Festival Adv.&amp;APCO Adv.</t>
  </si>
  <si>
    <t>Salaries</t>
  </si>
  <si>
    <t>Educational Adv.</t>
  </si>
  <si>
    <t>HBA (P)</t>
  </si>
  <si>
    <t>Non-plan=N/Plan=P</t>
  </si>
  <si>
    <t>Charged=C/Voted=V</t>
  </si>
  <si>
    <t>HBA (I)</t>
  </si>
  <si>
    <t>Contingency Fund/MH</t>
  </si>
  <si>
    <t>Car Adv.(P)</t>
  </si>
  <si>
    <t>Service Major Head</t>
  </si>
  <si>
    <t>Car Adv.(I)</t>
  </si>
  <si>
    <t>Motor Cycle Adv.(P)</t>
  </si>
  <si>
    <t>Motor Cycle Adv.(I)</t>
  </si>
  <si>
    <t>011 - Pay</t>
  </si>
  <si>
    <t>Cycle Adv.</t>
  </si>
  <si>
    <t>012-Allowances</t>
  </si>
  <si>
    <t>Marriage Adv.(P)</t>
  </si>
  <si>
    <t>013 - Dearness Allowances</t>
  </si>
  <si>
    <t>Marriage Adv.(I)</t>
  </si>
  <si>
    <t>016-</t>
  </si>
  <si>
    <t>Income Tax</t>
  </si>
  <si>
    <t>015-</t>
  </si>
  <si>
    <t>IR</t>
  </si>
  <si>
    <t>Class IV GPF- D.T.O</t>
  </si>
  <si>
    <t>EWF Loan</t>
  </si>
  <si>
    <t>ZPPF</t>
  </si>
  <si>
    <t>Total Govt. Deductions</t>
  </si>
  <si>
    <t xml:space="preserve">Gross Total </t>
  </si>
  <si>
    <t>Total Non-Govt.Deductions</t>
  </si>
  <si>
    <t>Less Govt. Deductions</t>
  </si>
  <si>
    <t>Under rupees</t>
  </si>
  <si>
    <t>A.G.Nett Amount</t>
  </si>
  <si>
    <t>A.G.Nett Amount in words:Rupees</t>
  </si>
  <si>
    <t>DDO's Signature</t>
  </si>
  <si>
    <t>FOR USE IN TREASURY / PAY &amp; ACCOUNTS OFFICE ONLY</t>
  </si>
  <si>
    <t>Pay</t>
  </si>
  <si>
    <t xml:space="preserve">_________________ </t>
  </si>
  <si>
    <t>(Rupees ______________________________________________________</t>
  </si>
  <si>
    <t xml:space="preserve">_______________________________________________________ Only) by Cash / Cheque / Draft / </t>
  </si>
  <si>
    <t>Account credit as under and Rs.________________ (Rupees ___________________________________</t>
  </si>
  <si>
    <t>____________________________________________ only) by adjustment.</t>
  </si>
  <si>
    <t>1.Rs._________________ by transfer credit to the SB Accounts of the Employees (as per Annexure-I)</t>
  </si>
  <si>
    <t>2.Rs._________________ by transfer credit to the DDO Account towards of Non-Govt.Deducations.</t>
  </si>
  <si>
    <t>Treasury Officer / Pay &amp; Accounts Officer</t>
  </si>
  <si>
    <t>NBST</t>
  </si>
  <si>
    <t xml:space="preserve">     BANK SEAL</t>
  </si>
  <si>
    <r>
      <t xml:space="preserve">GOVERNMENT OF ANDHRA PRADESH A.P.T.C.Form - </t>
    </r>
    <r>
      <rPr>
        <b/>
        <sz val="12"/>
        <rFont val="Arial"/>
        <family val="2"/>
      </rPr>
      <t>47</t>
    </r>
  </si>
  <si>
    <r>
      <t xml:space="preserve">Permanent / </t>
    </r>
    <r>
      <rPr>
        <strike/>
        <sz val="11"/>
        <rFont val="Arial"/>
        <family val="2"/>
      </rPr>
      <t>Temporary</t>
    </r>
  </si>
  <si>
    <t>BUDGET</t>
  </si>
  <si>
    <t>1.</t>
  </si>
  <si>
    <t>Budget allocation for the year 2010-2011</t>
  </si>
  <si>
    <t>2.</t>
  </si>
  <si>
    <t>Total Expenditure including this Bill</t>
  </si>
  <si>
    <t>3.</t>
  </si>
  <si>
    <t>Balance</t>
  </si>
  <si>
    <t>Drawing Officer</t>
  </si>
  <si>
    <t>This bill amount Rs.</t>
  </si>
  <si>
    <t>only) paid by cash / cheque / draft adjust to account.</t>
  </si>
  <si>
    <t>Received Cash</t>
  </si>
  <si>
    <t>REQUIRED CERTIFICATES</t>
  </si>
  <si>
    <t xml:space="preserve">Certified that this amount claimed in this bill has not been drawn and </t>
  </si>
  <si>
    <t>paid previously</t>
  </si>
  <si>
    <t>Certified that the pay of the employee was fixed as per G.O. Ms. No. 52, Finance(PC-1) Department, Dated 25.2.2010</t>
  </si>
  <si>
    <t>Certified that the pay of the employee was fixed as per circular memo</t>
  </si>
  <si>
    <t>No. 33327-A/549/A1/PC-1/2009, Dated: 13-03-2010</t>
  </si>
  <si>
    <t>Certified that D.A. in this bill has been claimed as per G.O. Ms. No. 63, Finance</t>
  </si>
  <si>
    <t>(PC-1) Department, Dated: 9-3-2010</t>
  </si>
  <si>
    <t>Certified that H.R.A in this bill has been claimed as per G.O. Ms. No. 64, Finance</t>
  </si>
  <si>
    <t>Certified that C.C.A in this bill has been claimed as per G.O. Ms. No. 65, Finance</t>
  </si>
  <si>
    <t>Certified that C.A in this bill has been claimed as per G.O. Ms. No. 108, Finance</t>
  </si>
  <si>
    <t>(PC-1) Department, Dated: 7-4-2010</t>
  </si>
  <si>
    <t>Certified that the A.A.S of the individual was fixed as per G.O.Ms. No. 96, Finance (PC-1) Department, Dated 3.4.2010</t>
  </si>
  <si>
    <t xml:space="preserve">Certified that H.M. Allowance in this bill has been claimed as per </t>
  </si>
  <si>
    <t>G.O. Ms.No. 118, Finance (PC-1) Department, Dated: 7-4-2010</t>
  </si>
  <si>
    <t>Certified that necessary entries have been made in the Service Register of the Individual.</t>
  </si>
  <si>
    <t>Certified that necessary recoveries have been made in this bill as per</t>
  </si>
  <si>
    <t>Government Orders.</t>
  </si>
  <si>
    <t>DRAWING OFFICER</t>
  </si>
  <si>
    <t>For the use Of  Accountant  General  Office</t>
  </si>
  <si>
    <t>A.P.T.C. FORM -101</t>
  </si>
  <si>
    <t>(See Subsidiary Rule2(W) Under Treasury Rule 15</t>
  </si>
  <si>
    <t>Govt. Memo No. 38907/Accounts/65-5, Dt.21-2-1963)</t>
  </si>
  <si>
    <t>DDO Code:</t>
  </si>
  <si>
    <t>Treasury/PAO Code</t>
  </si>
  <si>
    <t>Treasury/PAO Name:</t>
  </si>
  <si>
    <t>To</t>
  </si>
  <si>
    <t>The Treasury Officer/Manager,</t>
  </si>
  <si>
    <t>Please Pay Bill No.______________________________dated__________for Rs.</t>
  </si>
  <si>
    <t>(Rupees in words</t>
  </si>
  <si>
    <t>_________________________________________________________________________only)</t>
  </si>
  <si>
    <t xml:space="preserve">to Smt/Sri  </t>
  </si>
  <si>
    <t>for the office of the</t>
  </si>
  <si>
    <t>Signature of the Govt. Servant</t>
  </si>
  <si>
    <t>Received the Payment</t>
  </si>
  <si>
    <t>Dated                         2010</t>
  </si>
  <si>
    <t>Dated                 2010</t>
  </si>
  <si>
    <t>Attested</t>
  </si>
  <si>
    <t xml:space="preserve">      Signature of the Govt.</t>
  </si>
  <si>
    <t>Servant receiving the payment</t>
  </si>
  <si>
    <r>
      <t>DDO Designation:</t>
    </r>
    <r>
      <rPr>
        <u val="single"/>
        <sz val="10"/>
        <rFont val="Arial"/>
        <family val="2"/>
      </rPr>
      <t xml:space="preserve">    </t>
    </r>
    <r>
      <rPr>
        <sz val="11"/>
        <color indexed="8"/>
        <rFont val="Calibri"/>
        <family val="2"/>
      </rPr>
      <t xml:space="preserve">                                                                                  </t>
    </r>
  </si>
  <si>
    <t>GOVERNMENT OF ANDHRA PRADESH</t>
  </si>
  <si>
    <t>PAPER TOKEN</t>
  </si>
  <si>
    <t>STO CODE</t>
  </si>
  <si>
    <t>(for Treasury Use Only)</t>
  </si>
  <si>
    <t>STO NAME:</t>
  </si>
  <si>
    <t>Date:</t>
  </si>
  <si>
    <t>DDO CODE:</t>
  </si>
  <si>
    <t>Trans ID:</t>
  </si>
  <si>
    <t>DDO Designation:</t>
  </si>
  <si>
    <t>DDO Office Name:</t>
  </si>
  <si>
    <t>Bank Branch Code:</t>
  </si>
  <si>
    <t>Name:</t>
  </si>
  <si>
    <t>Head Of Account:</t>
  </si>
  <si>
    <t>(Major Head)</t>
  </si>
  <si>
    <t>(Sub-MH)</t>
  </si>
  <si>
    <t>(Minor Head)</t>
  </si>
  <si>
    <t>(Grp-SH)</t>
  </si>
  <si>
    <t>(Sub-Head)</t>
  </si>
  <si>
    <t>(Det.Head)</t>
  </si>
  <si>
    <t>(Sub Det.Head)</t>
  </si>
  <si>
    <t>Non-Plan=N/</t>
  </si>
  <si>
    <t>N</t>
  </si>
  <si>
    <t>Charged=C/</t>
  </si>
  <si>
    <t>V</t>
  </si>
  <si>
    <t>Contigency Fund MH/</t>
  </si>
  <si>
    <t>Plan=P:</t>
  </si>
  <si>
    <t>Voted=V</t>
  </si>
  <si>
    <t>Gross Rs.</t>
  </si>
  <si>
    <t>Deductions Rs.</t>
  </si>
  <si>
    <t>Net Rs.</t>
  </si>
  <si>
    <t>Net Rs</t>
  </si>
  <si>
    <t>_________________________________________________________________________Only)</t>
  </si>
  <si>
    <t xml:space="preserve">Messenger Name:                                                                                             Designation      </t>
  </si>
  <si>
    <t>(As in APTC Form-101)</t>
  </si>
  <si>
    <t>Specimen Signature of Messenger1.</t>
  </si>
  <si>
    <t>DDO Signature</t>
  </si>
  <si>
    <t>STO Signature</t>
  </si>
  <si>
    <t xml:space="preserve">Statement showing the PROFESSIONAL TAX Schedule deduction </t>
  </si>
  <si>
    <t xml:space="preserve">made in the Establishment pay bill of teaching staff of </t>
  </si>
  <si>
    <t xml:space="preserve">Head of Account 0028 Other taxes on income &amp; Expenditure M.H.107 Taxes on Profession trades S.H:01 Reciepts from Profession trades calling &amp; Employment </t>
  </si>
  <si>
    <t>S.l.No</t>
  </si>
  <si>
    <t>TREASURY ID</t>
  </si>
  <si>
    <t>Name of the Teacher</t>
  </si>
  <si>
    <t xml:space="preserve">Designation </t>
  </si>
  <si>
    <t>Amount of Tax  deduction ( in Rs.)</t>
  </si>
  <si>
    <t>Rupees</t>
  </si>
  <si>
    <t>DRAWING AND DISBURSING OFFICER</t>
  </si>
  <si>
    <t>S.No</t>
  </si>
  <si>
    <t>Name of the subscriber</t>
  </si>
  <si>
    <t>P.F.Sub-  cription</t>
  </si>
  <si>
    <t>Total</t>
  </si>
  <si>
    <t>ANNEXURE-I</t>
  </si>
  <si>
    <t>(Employee Wise details)</t>
  </si>
  <si>
    <t xml:space="preserve">To be furnished by the DDO in triplicate along with the bill </t>
  </si>
  <si>
    <t>Name of the NPB:</t>
  </si>
  <si>
    <t xml:space="preserve">DDO Code : </t>
  </si>
  <si>
    <t>DDO Designation :</t>
  </si>
  <si>
    <t>Trans-ID No:</t>
  </si>
  <si>
    <t>S.No.</t>
  </si>
  <si>
    <t>Employee  code</t>
  </si>
  <si>
    <t>Employee Name</t>
  </si>
  <si>
    <t>Account No</t>
  </si>
  <si>
    <t>Amount to be credited</t>
  </si>
  <si>
    <t>Signature of T.O.</t>
  </si>
  <si>
    <t>(with seal)</t>
  </si>
  <si>
    <t>ANNEXURE-II</t>
  </si>
  <si>
    <t>(Notified link bank report)</t>
  </si>
  <si>
    <t xml:space="preserve">To be furnished by the DDO in triplicate  </t>
  </si>
  <si>
    <t xml:space="preserve">DDO Designation : </t>
  </si>
  <si>
    <t>Sl.No.</t>
  </si>
  <si>
    <t>Name of the NLB</t>
  </si>
  <si>
    <t>Purpose</t>
  </si>
  <si>
    <t>TOTAL:</t>
  </si>
  <si>
    <t>ANNEXURE- III</t>
  </si>
  <si>
    <t>Government Bank Report</t>
  </si>
  <si>
    <t>(To be generated by T.O.)</t>
  </si>
  <si>
    <t xml:space="preserve">            S.T.O./ P.A.O. Code : </t>
  </si>
  <si>
    <t>S.T.O./ P.A.O. Name :</t>
  </si>
  <si>
    <t xml:space="preserve">          Govt. Bank Br.Code :</t>
  </si>
  <si>
    <t>G.B.Br.Name :</t>
  </si>
  <si>
    <t>Sl.No</t>
  </si>
  <si>
    <t>purpose</t>
  </si>
  <si>
    <t>Amount to be credited Rs.</t>
  </si>
  <si>
    <t>Signature of  T.O.</t>
  </si>
  <si>
    <t>A.P.T.C. FORM - 49</t>
  </si>
  <si>
    <t>(See subsidiary Rule 13 under Treasury Rule 10)</t>
  </si>
  <si>
    <t>PERIODICAL INCREMENT CERTIFICATE</t>
  </si>
  <si>
    <t>ANNEXURE</t>
  </si>
  <si>
    <t>Name</t>
  </si>
  <si>
    <t>Appointment</t>
  </si>
  <si>
    <t>Whether substantive or officiating</t>
  </si>
  <si>
    <t>Date from which present pay is drawn</t>
  </si>
  <si>
    <t>Suspension for misconduct</t>
  </si>
  <si>
    <t>Leave without pay and in the case of those holding the post temporarily or in an officiating capacity all kinds of leave other than leave on average pay during which they would have continued to officiate in the post but for their going on leave upto a ma</t>
  </si>
  <si>
    <t xml:space="preserve">Date from which increment may be given </t>
  </si>
  <si>
    <t xml:space="preserve">Scale of pay </t>
  </si>
  <si>
    <t>Present pay</t>
  </si>
  <si>
    <t>Amount of increment</t>
  </si>
  <si>
    <t>Future pay</t>
  </si>
  <si>
    <t>From</t>
  </si>
  <si>
    <t>(1) Certified that every Government Servant (s) named below has have been earned and prescribed periodical increment from date / dates noted in column (10) and either I(a) has / have been the incumbent or the appointment indicated against his name / their names for a period not less than _____years since the date in column (5) or (if he has / they have been suspended for misconduct) column (7) after deducting the periods between the dates showing in columns (3) and has (9) and has been subjected in any order of stoppage of increment as panaulty during the periods and during the periods of leave on average pay taken at a time from _____________ to ______________ and from _____________ to _______________ which has / have been counted for increments / in the case of officiating Government servents / Servents named below the / they would have officiated in the post / posts but for his / thier going on leave or __________</t>
  </si>
  <si>
    <t>Note :</t>
  </si>
  <si>
    <t xml:space="preserve">1. When an increment claimed operates to carry Government Servant over an efficiancy have the claim should be supported by a declaration from the competent authority that it has satisfied itself that the character and efficiency of the Government Servant </t>
  </si>
  <si>
    <t>CERTIFICATE</t>
  </si>
  <si>
    <t>(As laid down in Government Memo No.104215 A/1620/Pen.11/56-1, Dated 10-1-1977)</t>
  </si>
  <si>
    <t xml:space="preserve">towards monthly premium is paid in challan No.___________________________________Dated________________________ towards  compulsory insurance </t>
  </si>
  <si>
    <t>Scheme applicable to Govt Servants as per G.O. Ms. No. 337, F&amp; P dated 3-8-1976.</t>
  </si>
  <si>
    <t>Certified that the age of Sri</t>
  </si>
  <si>
    <t xml:space="preserve">has exceeded 45 years and hence he can not insure the life with Government Life Insurance </t>
  </si>
  <si>
    <t>Department.</t>
  </si>
  <si>
    <t>0706795</t>
  </si>
  <si>
    <t>l-2103236</t>
  </si>
  <si>
    <t>HEAD OF ACCOUNT- MAJOR HEAD</t>
  </si>
  <si>
    <t>SUB MAJOR</t>
  </si>
  <si>
    <t>MINOR HEAD</t>
  </si>
  <si>
    <t>SUB-HEAD</t>
  </si>
  <si>
    <t>DETAILED HEAD</t>
  </si>
  <si>
    <t>FIXATION ARREARS</t>
  </si>
  <si>
    <t>SUBSTANTIVE</t>
  </si>
  <si>
    <t>THIS PARTICULAR PROGRAM WORKS FOR TEACHERS WHO JOINED ON 19/08/1998 AND EARLIER</t>
  </si>
  <si>
    <t>AMOUNT TO ZPPF</t>
  </si>
  <si>
    <t>TYPE ZPPF AMOUNT IN WORDS</t>
  </si>
  <si>
    <t>two thousand and fifty nine only</t>
  </si>
  <si>
    <t>CASH</t>
  </si>
  <si>
    <t>TYPE CASH IN WORDS</t>
  </si>
  <si>
    <t>five hundred and ninety six only</t>
  </si>
  <si>
    <t>CLAIM FOR ARREARS UNDER MODIFIED AUTOMATIC SCHEME</t>
  </si>
  <si>
    <t>/2011-12</t>
  </si>
  <si>
    <t>V. HARI RAJA SEKHAR</t>
  </si>
  <si>
    <t>MANDAL PARISHAD, NIDAMARRU</t>
  </si>
  <si>
    <t>STATE BANK OF INDIA, GANAPAVARAM</t>
  </si>
  <si>
    <t>K.RAMBABU., M.A.B.Ed</t>
  </si>
  <si>
    <t>M.E.O</t>
  </si>
  <si>
    <t>K.S.N.RAJU</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</si>
</sst>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 mmmm\,\ yyyy"/>
    <numFmt numFmtId="165" formatCode="00000"/>
    <numFmt numFmtId="166" formatCode="mmm/yyyy"/>
    <numFmt numFmtId="167" formatCode="[$-409]dddd\,\ mmmm\ dd\,\ yyyy"/>
    <numFmt numFmtId="168" formatCode="dd\-mm\-yyyy"/>
    <numFmt numFmtId="169" formatCode="0\1\-\1\-\200\9"/>
    <numFmt numFmtId="170" formatCode="m/d/yyyy;@"/>
    <numFmt numFmtId="171" formatCode="m/d/yy;@"/>
    <numFmt numFmtId="172" formatCode="0.00;[Red]0.00"/>
    <numFmt numFmtId="173" formatCode="0;[Red]0"/>
    <numFmt numFmtId="174" formatCode="[$Rs-420]#,##0.00_-"/>
    <numFmt numFmtId="175" formatCode="&quot;Rs.&quot;#,##0.00"/>
    <numFmt numFmtId="176" formatCode="_(&quot;Rs.&quot;* #,##0.00_);_(&quot;Rs.&quot;* \(#,##0.00\);_(&quot;Rs.&quot;* &quot;-&quot;??_);_(@_)"/>
    <numFmt numFmtId="177" formatCode="0.00_);\(0.00\)"/>
    <numFmt numFmtId="178" formatCode="\%"/>
    <numFmt numFmtId="179" formatCode="[$-409]h:mm:ss\ AM/PM"/>
    <numFmt numFmtId="180" formatCode="[$-409]d\-mmm\-yy;@"/>
    <numFmt numFmtId="181" formatCode="0.0%"/>
    <numFmt numFmtId="182" formatCode="#,##0.00;[Red]#,##0.00"/>
    <numFmt numFmtId="183" formatCode="&quot;Yes&quot;;&quot;Yes&quot;;&quot;No&quot;"/>
    <numFmt numFmtId="184" formatCode="&quot;True&quot;;&quot;True&quot;;&quot;False&quot;"/>
    <numFmt numFmtId="185" formatCode="&quot;On&quot;;&quot;On&quot;;&quot;Off&quot;"/>
    <numFmt numFmtId="186" formatCode="[$€-2]\ #,##0.00_);[Red]\([$€-2]\ #,##0.00\)"/>
    <numFmt numFmtId="187" formatCode="[$Rs-420]#,##0.00;[Red][$Rs-420]#,##0.00"/>
    <numFmt numFmtId="188" formatCode="mmm\-yyyy"/>
    <numFmt numFmtId="189" formatCode="0.0;[Red]0.0"/>
  </numFmts>
  <fonts count="92">
    <font>
      <sz val="11"/>
      <color indexed="8"/>
      <name val="Calibri"/>
      <family val="2"/>
    </font>
    <font>
      <sz val="10"/>
      <name val="Arial"/>
      <family val="2"/>
    </font>
    <font>
      <sz val="10"/>
      <name val="Bookman Old Style"/>
      <family val="1"/>
    </font>
    <font>
      <sz val="16"/>
      <name val="Arial"/>
      <family val="2"/>
    </font>
    <font>
      <sz val="11"/>
      <name val="Arial"/>
      <family val="2"/>
    </font>
    <font>
      <b/>
      <sz val="14"/>
      <name val="Arial"/>
      <family val="2"/>
    </font>
    <font>
      <b/>
      <sz val="10"/>
      <name val="Arial"/>
      <family val="2"/>
    </font>
    <font>
      <b/>
      <sz val="9"/>
      <name val="Arial"/>
      <family val="2"/>
    </font>
    <font>
      <b/>
      <sz val="11"/>
      <color indexed="8"/>
      <name val="Calibri"/>
      <family val="2"/>
    </font>
    <font>
      <sz val="16"/>
      <color indexed="8"/>
      <name val="Calibri"/>
      <family val="2"/>
    </font>
    <font>
      <sz val="10"/>
      <color indexed="8"/>
      <name val="Calibri"/>
      <family val="2"/>
    </font>
    <font>
      <b/>
      <u val="single"/>
      <sz val="11"/>
      <color indexed="8"/>
      <name val="Calibri"/>
      <family val="2"/>
    </font>
    <font>
      <sz val="18"/>
      <color indexed="8"/>
      <name val="Calibri"/>
      <family val="2"/>
    </font>
    <font>
      <sz val="14"/>
      <color indexed="8"/>
      <name val="Calibri"/>
      <family val="2"/>
    </font>
    <font>
      <sz val="8"/>
      <name val="Calibri"/>
      <family val="2"/>
    </font>
    <font>
      <b/>
      <sz val="12"/>
      <color indexed="8"/>
      <name val="Calibri"/>
      <family val="0"/>
    </font>
    <font>
      <b/>
      <sz val="14"/>
      <color indexed="8"/>
      <name val="Calibri"/>
      <family val="0"/>
    </font>
    <font>
      <u val="single"/>
      <sz val="11"/>
      <color indexed="20"/>
      <name val="Calibri"/>
      <family val="2"/>
    </font>
    <font>
      <u val="single"/>
      <sz val="11"/>
      <color indexed="12"/>
      <name val="Calibri"/>
      <family val="2"/>
    </font>
    <font>
      <sz val="12"/>
      <color indexed="8"/>
      <name val="Calibri"/>
      <family val="2"/>
    </font>
    <font>
      <sz val="12"/>
      <name val="Arial"/>
      <family val="2"/>
    </font>
    <font>
      <sz val="18"/>
      <name val="Arial"/>
      <family val="2"/>
    </font>
    <font>
      <b/>
      <sz val="12"/>
      <name val="Arial"/>
      <family val="2"/>
    </font>
    <font>
      <b/>
      <sz val="11"/>
      <color indexed="8"/>
      <name val="Verdana"/>
      <family val="2"/>
    </font>
    <font>
      <b/>
      <sz val="11"/>
      <name val="Verdana"/>
      <family val="2"/>
    </font>
    <font>
      <b/>
      <sz val="11"/>
      <name val="Arial"/>
      <family val="2"/>
    </font>
    <font>
      <sz val="11"/>
      <color indexed="10"/>
      <name val="Arial"/>
      <family val="2"/>
    </font>
    <font>
      <b/>
      <sz val="11"/>
      <color indexed="10"/>
      <name val="Verdana"/>
      <family val="2"/>
    </font>
    <font>
      <strike/>
      <sz val="11"/>
      <name val="Arial"/>
      <family val="2"/>
    </font>
    <font>
      <b/>
      <sz val="12"/>
      <name val="Verdana"/>
      <family val="2"/>
    </font>
    <font>
      <sz val="12"/>
      <name val="Verdana"/>
      <family val="2"/>
    </font>
    <font>
      <sz val="12"/>
      <name val="Helvetica Narrow"/>
      <family val="2"/>
    </font>
    <font>
      <sz val="12"/>
      <name val="Impact"/>
      <family val="2"/>
    </font>
    <font>
      <sz val="12"/>
      <name val="Arial Unicode MS"/>
      <family val="2"/>
    </font>
    <font>
      <sz val="12"/>
      <name val="Trebuchet MS"/>
      <family val="2"/>
    </font>
    <font>
      <sz val="12"/>
      <name val="Helvetica"/>
      <family val="2"/>
    </font>
    <font>
      <sz val="12"/>
      <color indexed="9"/>
      <name val="Arial"/>
      <family val="2"/>
    </font>
    <font>
      <b/>
      <sz val="8"/>
      <name val="Verdana"/>
      <family val="2"/>
    </font>
    <font>
      <b/>
      <sz val="8"/>
      <name val="Arial"/>
      <family val="2"/>
    </font>
    <font>
      <sz val="14"/>
      <name val="Arial Black"/>
      <family val="2"/>
    </font>
    <font>
      <i/>
      <sz val="12"/>
      <name val="Arial"/>
      <family val="2"/>
    </font>
    <font>
      <u val="single"/>
      <sz val="10"/>
      <name val="Arial"/>
      <family val="2"/>
    </font>
    <font>
      <sz val="9"/>
      <name val="Arial"/>
      <family val="2"/>
    </font>
    <font>
      <sz val="10"/>
      <color indexed="8"/>
      <name val="Arial"/>
      <family val="2"/>
    </font>
    <font>
      <b/>
      <sz val="10"/>
      <name val="Albertus Medium"/>
      <family val="2"/>
    </font>
    <font>
      <sz val="12"/>
      <name val="Arial Narrow"/>
      <family val="2"/>
    </font>
    <font>
      <sz val="14"/>
      <name val="Arial Narrow"/>
      <family val="2"/>
    </font>
    <font>
      <sz val="11"/>
      <name val="Arial Narrow"/>
      <family val="2"/>
    </font>
    <font>
      <sz val="11"/>
      <name val="Antique Olive"/>
      <family val="2"/>
    </font>
    <font>
      <sz val="12"/>
      <name val="Bell MT"/>
      <family val="1"/>
    </font>
    <font>
      <sz val="11"/>
      <name val="Bell MT"/>
      <family val="1"/>
    </font>
    <font>
      <sz val="11"/>
      <name val="Arial Unicode MS"/>
      <family val="2"/>
    </font>
    <font>
      <b/>
      <sz val="11"/>
      <name val="Arial Narrow"/>
      <family val="2"/>
    </font>
    <font>
      <b/>
      <sz val="11"/>
      <name val="Bell MT"/>
      <family val="1"/>
    </font>
    <font>
      <b/>
      <sz val="12"/>
      <name val="Bookman Old Style"/>
      <family val="1"/>
    </font>
    <font>
      <b/>
      <sz val="10"/>
      <name val="Bookman Old Style"/>
      <family val="1"/>
    </font>
    <font>
      <b/>
      <i/>
      <sz val="10"/>
      <name val="Bookman Old Style"/>
      <family val="1"/>
    </font>
    <font>
      <b/>
      <i/>
      <sz val="11"/>
      <name val="Bookman Old Style"/>
      <family val="1"/>
    </font>
    <font>
      <b/>
      <i/>
      <sz val="12"/>
      <name val="Bookman Old Style"/>
      <family val="1"/>
    </font>
    <font>
      <sz val="14"/>
      <name val="Gill Sans MT"/>
      <family val="2"/>
    </font>
    <font>
      <sz val="14"/>
      <name val="High Tower Text"/>
      <family val="1"/>
    </font>
    <font>
      <b/>
      <i/>
      <sz val="11"/>
      <name val="Miriam Transparent"/>
      <family val="0"/>
    </font>
    <font>
      <sz val="12"/>
      <name val="Bookman Old Style"/>
      <family val="1"/>
    </font>
    <font>
      <b/>
      <i/>
      <sz val="10"/>
      <name val="Arial"/>
      <family val="2"/>
    </font>
    <font>
      <b/>
      <i/>
      <sz val="12"/>
      <name val="Arial"/>
      <family val="2"/>
    </font>
    <font>
      <sz val="14"/>
      <name val="Arial"/>
      <family val="2"/>
    </font>
    <font>
      <sz val="9"/>
      <name val="Arial Unicode MS"/>
      <family val="2"/>
    </font>
    <font>
      <b/>
      <sz val="10"/>
      <name val="Arial Unicode MS"/>
      <family val="2"/>
    </font>
    <font>
      <b/>
      <sz val="8"/>
      <name val="Calibri"/>
      <family val="2"/>
    </font>
    <font>
      <sz val="11.7"/>
      <name val="Arial"/>
      <family val="2"/>
    </font>
    <font>
      <b/>
      <sz val="20"/>
      <color indexed="8"/>
      <name val="Calibri"/>
      <family val="0"/>
    </font>
    <font>
      <b/>
      <sz val="18"/>
      <color indexed="8"/>
      <name val="Calibri"/>
      <family val="0"/>
    </font>
    <font>
      <sz val="8"/>
      <name val="Tahoma"/>
      <family val="0"/>
    </font>
    <font>
      <b/>
      <sz val="8"/>
      <name val="Tahoma"/>
      <family val="0"/>
    </font>
    <font>
      <b/>
      <sz val="8"/>
      <color indexed="8"/>
      <name val="Calibri"/>
      <family val="0"/>
    </font>
    <font>
      <b/>
      <sz val="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style="thick"/>
      <right>
        <color indexed="63"/>
      </right>
      <top style="thin"/>
      <bottom>
        <color indexed="63"/>
      </bottom>
    </border>
    <border>
      <left style="thick"/>
      <right>
        <color indexed="63"/>
      </right>
      <top>
        <color indexed="63"/>
      </top>
      <bottom style="medium"/>
    </border>
    <border>
      <left>
        <color indexed="63"/>
      </left>
      <right style="thick"/>
      <top>
        <color indexed="63"/>
      </top>
      <bottom style="mediu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hair"/>
    </border>
    <border>
      <left>
        <color indexed="63"/>
      </left>
      <right style="thick"/>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style="thick"/>
      <top style="thin"/>
      <bottom style="thin"/>
    </border>
    <border>
      <left style="double"/>
      <right style="thin"/>
      <top style="thin"/>
      <bottom style="thin"/>
    </border>
    <border>
      <left style="thin"/>
      <right style="double"/>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6" fillId="12"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9" borderId="0" applyNumberFormat="0" applyBorder="0" applyAlignment="0" applyProtection="0"/>
    <xf numFmtId="0" fontId="77" fillId="3" borderId="0" applyNumberFormat="0" applyBorder="0" applyAlignment="0" applyProtection="0"/>
    <xf numFmtId="0" fontId="78" fillId="20" borderId="1" applyNumberFormat="0" applyAlignment="0" applyProtection="0"/>
    <xf numFmtId="0" fontId="7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17" fillId="0" borderId="0" applyNumberFormat="0" applyFill="0" applyBorder="0" applyAlignment="0" applyProtection="0"/>
    <xf numFmtId="0" fontId="81" fillId="4"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18" fillId="0" borderId="0" applyNumberFormat="0" applyFill="0" applyBorder="0" applyAlignment="0" applyProtection="0"/>
    <xf numFmtId="0" fontId="85" fillId="7" borderId="1" applyNumberFormat="0" applyAlignment="0" applyProtection="0"/>
    <xf numFmtId="0" fontId="86" fillId="0" borderId="6" applyNumberFormat="0" applyFill="0" applyAlignment="0" applyProtection="0"/>
    <xf numFmtId="0" fontId="87" fillId="22" borderId="0" applyNumberFormat="0" applyBorder="0" applyAlignment="0" applyProtection="0"/>
    <xf numFmtId="0" fontId="1" fillId="0" borderId="0">
      <alignment/>
      <protection/>
    </xf>
    <xf numFmtId="0" fontId="0" fillId="23" borderId="7" applyNumberFormat="0" applyFont="0" applyAlignment="0" applyProtection="0"/>
    <xf numFmtId="0" fontId="88" fillId="20" borderId="8" applyNumberFormat="0" applyAlignment="0" applyProtection="0"/>
    <xf numFmtId="9" fontId="0" fillId="0" borderId="0" applyFont="0" applyFill="0" applyBorder="0" applyAlignment="0" applyProtection="0"/>
    <xf numFmtId="0" fontId="19" fillId="0" borderId="0" applyProtection="0">
      <alignment horizontal="left" indent="2"/>
    </xf>
    <xf numFmtId="0" fontId="89" fillId="0" borderId="0" applyNumberFormat="0" applyFill="0" applyBorder="0" applyAlignment="0" applyProtection="0"/>
    <xf numFmtId="0" fontId="8" fillId="0" borderId="9" applyNumberFormat="0" applyFill="0" applyAlignment="0" applyProtection="0"/>
    <xf numFmtId="0" fontId="90" fillId="0" borderId="0" applyNumberFormat="0" applyFill="0" applyBorder="0" applyAlignment="0" applyProtection="0"/>
  </cellStyleXfs>
  <cellXfs count="548">
    <xf numFmtId="0" fontId="0" fillId="0" borderId="0" xfId="0" applyAlignment="1">
      <alignment/>
    </xf>
    <xf numFmtId="14" fontId="0" fillId="0" borderId="0" xfId="0" applyNumberFormat="1" applyAlignment="1">
      <alignment/>
    </xf>
    <xf numFmtId="0" fontId="0" fillId="0" borderId="0" xfId="0" applyAlignment="1">
      <alignment vertical="center"/>
    </xf>
    <xf numFmtId="0" fontId="0" fillId="0" borderId="0" xfId="0" applyAlignment="1">
      <alignment horizontal="center" vertical="center"/>
    </xf>
    <xf numFmtId="0" fontId="0" fillId="24" borderId="0" xfId="0" applyFill="1" applyAlignment="1">
      <alignment/>
    </xf>
    <xf numFmtId="0" fontId="0" fillId="0" borderId="0" xfId="0" applyAlignment="1">
      <alignment vertical="top"/>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xf>
    <xf numFmtId="0" fontId="1" fillId="0" borderId="0" xfId="0" applyFont="1" applyBorder="1" applyAlignment="1">
      <alignment/>
    </xf>
    <xf numFmtId="0" fontId="1" fillId="0" borderId="0" xfId="0" applyFont="1" applyFill="1" applyBorder="1" applyAlignment="1">
      <alignment/>
    </xf>
    <xf numFmtId="0" fontId="2" fillId="0" borderId="0" xfId="0" applyFont="1" applyBorder="1" applyAlignment="1">
      <alignment/>
    </xf>
    <xf numFmtId="0" fontId="1" fillId="0" borderId="0" xfId="0" applyFont="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horizontal="right"/>
    </xf>
    <xf numFmtId="0" fontId="3" fillId="0" borderId="0" xfId="0" applyFont="1" applyAlignment="1">
      <alignment vertical="center" wrapText="1"/>
    </xf>
    <xf numFmtId="0" fontId="5" fillId="0" borderId="0" xfId="0" applyFont="1" applyAlignment="1">
      <alignment/>
    </xf>
    <xf numFmtId="14" fontId="0" fillId="0" borderId="0" xfId="0" applyNumberForma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Border="1" applyAlignment="1">
      <alignment horizontal="center" vertical="center" wrapText="1"/>
    </xf>
    <xf numFmtId="14" fontId="0" fillId="0" borderId="10" xfId="0" applyNumberFormat="1" applyBorder="1" applyAlignment="1">
      <alignment/>
    </xf>
    <xf numFmtId="14" fontId="0" fillId="0" borderId="10" xfId="0" applyNumberFormat="1" applyBorder="1" applyAlignment="1">
      <alignment horizontal="center"/>
    </xf>
    <xf numFmtId="0" fontId="0" fillId="0" borderId="10" xfId="0" applyBorder="1" applyAlignment="1">
      <alignment/>
    </xf>
    <xf numFmtId="14" fontId="0" fillId="0" borderId="10" xfId="0" applyNumberFormat="1" applyBorder="1" applyAlignment="1">
      <alignment horizontal="right"/>
    </xf>
    <xf numFmtId="14" fontId="0" fillId="0" borderId="11" xfId="0" applyNumberFormat="1" applyBorder="1" applyAlignment="1">
      <alignment horizontal="right"/>
    </xf>
    <xf numFmtId="0" fontId="0" fillId="0" borderId="11" xfId="0" applyBorder="1" applyAlignment="1">
      <alignment/>
    </xf>
    <xf numFmtId="0" fontId="0" fillId="0" borderId="11" xfId="0" applyBorder="1" applyAlignment="1">
      <alignment horizontal="center"/>
    </xf>
    <xf numFmtId="14" fontId="0" fillId="0" borderId="11" xfId="0" applyNumberFormat="1" applyBorder="1" applyAlignment="1">
      <alignment horizont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0" xfId="0" applyFont="1" applyBorder="1" applyAlignment="1">
      <alignment horizontal="center" vertical="center"/>
    </xf>
    <xf numFmtId="0" fontId="24" fillId="0" borderId="0" xfId="0" applyFont="1" applyBorder="1" applyAlignment="1">
      <alignment vertical="center"/>
    </xf>
    <xf numFmtId="0" fontId="20" fillId="0" borderId="13" xfId="0" applyFont="1" applyBorder="1" applyAlignment="1">
      <alignment vertical="center"/>
    </xf>
    <xf numFmtId="0" fontId="26"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quotePrefix="1">
      <alignment vertical="center"/>
    </xf>
    <xf numFmtId="0" fontId="27" fillId="0" borderId="0" xfId="0" applyFont="1" applyBorder="1" applyAlignment="1">
      <alignment horizontal="center" vertical="center"/>
    </xf>
    <xf numFmtId="0" fontId="27" fillId="0" borderId="0" xfId="0" applyFont="1" applyBorder="1" applyAlignment="1" quotePrefix="1">
      <alignment horizontal="center" vertical="center"/>
    </xf>
    <xf numFmtId="0" fontId="0" fillId="0" borderId="0" xfId="0" applyBorder="1" applyAlignment="1">
      <alignment/>
    </xf>
    <xf numFmtId="0" fontId="4" fillId="0" borderId="14" xfId="0" applyFont="1" applyBorder="1" applyAlignment="1">
      <alignment vertical="center"/>
    </xf>
    <xf numFmtId="0" fontId="4" fillId="0" borderId="15" xfId="0" applyFont="1" applyBorder="1" applyAlignment="1">
      <alignment vertical="center"/>
    </xf>
    <xf numFmtId="0" fontId="25" fillId="0" borderId="15" xfId="0" applyFont="1" applyBorder="1" applyAlignment="1">
      <alignment vertical="center"/>
    </xf>
    <xf numFmtId="0" fontId="4" fillId="0" borderId="16" xfId="0" applyFont="1" applyBorder="1" applyAlignment="1">
      <alignment vertical="center"/>
    </xf>
    <xf numFmtId="0" fontId="25" fillId="0" borderId="13" xfId="0" applyFont="1" applyBorder="1" applyAlignment="1">
      <alignment vertical="center"/>
    </xf>
    <xf numFmtId="0" fontId="4" fillId="0" borderId="17" xfId="0" applyFont="1" applyBorder="1" applyAlignment="1">
      <alignment vertical="center"/>
    </xf>
    <xf numFmtId="0" fontId="20" fillId="0" borderId="0" xfId="0" applyFont="1" applyBorder="1" applyAlignment="1">
      <alignment vertical="center"/>
    </xf>
    <xf numFmtId="0" fontId="29" fillId="0" borderId="0" xfId="0" applyFont="1" applyBorder="1" applyAlignment="1">
      <alignment horizontal="center" vertical="center"/>
    </xf>
    <xf numFmtId="0" fontId="29" fillId="0" borderId="10" xfId="0" applyFont="1" applyBorder="1" applyAlignment="1">
      <alignment horizontal="center" vertical="center"/>
    </xf>
    <xf numFmtId="0" fontId="20" fillId="0" borderId="17" xfId="0" applyFont="1" applyBorder="1" applyAlignment="1">
      <alignment vertical="center"/>
    </xf>
    <xf numFmtId="0" fontId="20" fillId="0" borderId="0" xfId="0" applyFont="1" applyBorder="1" applyAlignment="1">
      <alignment/>
    </xf>
    <xf numFmtId="0" fontId="30" fillId="0" borderId="0" xfId="0" applyFont="1" applyBorder="1" applyAlignment="1">
      <alignment vertical="center"/>
    </xf>
    <xf numFmtId="0" fontId="30" fillId="0" borderId="12" xfId="0" applyFont="1" applyBorder="1" applyAlignment="1">
      <alignment vertical="center"/>
    </xf>
    <xf numFmtId="0" fontId="30" fillId="0" borderId="0" xfId="0" applyFont="1" applyBorder="1" applyAlignment="1">
      <alignment horizontal="center" vertical="center"/>
    </xf>
    <xf numFmtId="0" fontId="20" fillId="0" borderId="0" xfId="0" applyFont="1" applyBorder="1" applyAlignment="1">
      <alignment vertical="center" wrapText="1"/>
    </xf>
    <xf numFmtId="0" fontId="20" fillId="0" borderId="17" xfId="0" applyFont="1" applyBorder="1" applyAlignment="1">
      <alignment vertical="center" wrapText="1"/>
    </xf>
    <xf numFmtId="0" fontId="20" fillId="0" borderId="13" xfId="0" applyFont="1" applyBorder="1" applyAlignment="1">
      <alignment/>
    </xf>
    <xf numFmtId="0" fontId="31" fillId="0" borderId="0" xfId="0" applyFont="1" applyBorder="1" applyAlignment="1">
      <alignment vertical="center"/>
    </xf>
    <xf numFmtId="0" fontId="32" fillId="0" borderId="0" xfId="0" applyFont="1" applyBorder="1" applyAlignment="1">
      <alignment vertical="center"/>
    </xf>
    <xf numFmtId="0" fontId="22" fillId="0" borderId="10" xfId="0" applyFont="1" applyBorder="1" applyAlignment="1">
      <alignment horizontal="center" vertical="center" wrapText="1"/>
    </xf>
    <xf numFmtId="2" fontId="30" fillId="0" borderId="0" xfId="0" applyNumberFormat="1" applyFont="1" applyBorder="1" applyAlignment="1">
      <alignment vertical="center"/>
    </xf>
    <xf numFmtId="0" fontId="33" fillId="0" borderId="0" xfId="0" applyFont="1" applyBorder="1" applyAlignment="1">
      <alignment horizontal="left" vertical="center"/>
    </xf>
    <xf numFmtId="0" fontId="34" fillId="0" borderId="0" xfId="0" applyFont="1" applyBorder="1" applyAlignment="1">
      <alignment horizontal="center"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19" xfId="0" applyFont="1" applyBorder="1" applyAlignment="1">
      <alignment/>
    </xf>
    <xf numFmtId="0" fontId="35" fillId="0" borderId="19" xfId="0" applyFont="1" applyBorder="1" applyAlignment="1">
      <alignment vertical="center"/>
    </xf>
    <xf numFmtId="0" fontId="20" fillId="0" borderId="20" xfId="0" applyFont="1" applyBorder="1" applyAlignment="1">
      <alignment vertical="center"/>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22" fillId="0" borderId="10" xfId="0" applyFont="1" applyBorder="1" applyAlignment="1">
      <alignment horizontal="center" vertical="center"/>
    </xf>
    <xf numFmtId="0" fontId="20" fillId="0" borderId="13" xfId="0" applyFont="1" applyBorder="1" applyAlignment="1" quotePrefix="1">
      <alignment vertical="center"/>
    </xf>
    <xf numFmtId="2" fontId="36" fillId="0" borderId="0" xfId="0" applyNumberFormat="1" applyFont="1" applyBorder="1" applyAlignment="1">
      <alignment vertical="center"/>
    </xf>
    <xf numFmtId="0" fontId="20" fillId="0" borderId="21" xfId="0" applyFont="1" applyBorder="1" applyAlignment="1">
      <alignment vertical="center"/>
    </xf>
    <xf numFmtId="0" fontId="20" fillId="0" borderId="21" xfId="0" applyFont="1" applyFill="1" applyBorder="1" applyAlignment="1">
      <alignment vertical="center"/>
    </xf>
    <xf numFmtId="0" fontId="4" fillId="0" borderId="19" xfId="0" applyFont="1" applyBorder="1" applyAlignment="1">
      <alignment vertical="center"/>
    </xf>
    <xf numFmtId="0" fontId="4" fillId="0" borderId="22" xfId="0" applyFont="1" applyBorder="1" applyAlignment="1">
      <alignment vertical="center"/>
    </xf>
    <xf numFmtId="0" fontId="20" fillId="0" borderId="12" xfId="0" applyFont="1" applyBorder="1" applyAlignment="1">
      <alignment vertical="center"/>
    </xf>
    <xf numFmtId="0" fontId="21" fillId="0" borderId="0" xfId="0" applyFont="1" applyBorder="1" applyAlignment="1">
      <alignment vertical="center" textRotation="90"/>
    </xf>
    <xf numFmtId="0" fontId="6" fillId="0" borderId="0" xfId="0" applyFont="1" applyBorder="1" applyAlignment="1">
      <alignment textRotation="90"/>
    </xf>
    <xf numFmtId="0" fontId="4" fillId="0" borderId="13" xfId="0" applyFont="1" applyBorder="1" applyAlignment="1">
      <alignment/>
    </xf>
    <xf numFmtId="0" fontId="4" fillId="0" borderId="0" xfId="0" applyFont="1" applyBorder="1" applyAlignment="1">
      <alignment/>
    </xf>
    <xf numFmtId="0" fontId="4" fillId="0" borderId="12" xfId="0" applyFont="1" applyBorder="1" applyAlignment="1">
      <alignment/>
    </xf>
    <xf numFmtId="0" fontId="1"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5" xfId="0" applyBorder="1" applyAlignment="1" quotePrefix="1">
      <alignment horizontal="center" vertical="center"/>
    </xf>
    <xf numFmtId="0" fontId="1" fillId="0" borderId="0" xfId="0" applyFont="1" applyBorder="1"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177" fontId="37" fillId="0" borderId="0" xfId="0" applyNumberFormat="1" applyFont="1" applyBorder="1" applyAlignment="1">
      <alignment horizontal="left" vertical="center"/>
    </xf>
    <xf numFmtId="2" fontId="0" fillId="0" borderId="0" xfId="0" applyNumberFormat="1" applyBorder="1" applyAlignment="1">
      <alignment horizontal="left" vertical="center"/>
    </xf>
    <xf numFmtId="2" fontId="7" fillId="0" borderId="0" xfId="0" applyNumberFormat="1" applyFont="1" applyBorder="1" applyAlignment="1">
      <alignment horizontal="left" vertical="center"/>
    </xf>
    <xf numFmtId="2" fontId="0" fillId="0" borderId="0" xfId="0" applyNumberFormat="1" applyBorder="1" applyAlignment="1">
      <alignment horizontal="center" vertical="center"/>
    </xf>
    <xf numFmtId="0" fontId="0" fillId="0" borderId="25" xfId="0" applyBorder="1" applyAlignment="1" quotePrefix="1">
      <alignment vertical="center"/>
    </xf>
    <xf numFmtId="0" fontId="0" fillId="0" borderId="30" xfId="0" applyBorder="1" applyAlignment="1">
      <alignment vertical="center"/>
    </xf>
    <xf numFmtId="0" fontId="0" fillId="0" borderId="19"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6" fillId="0" borderId="0" xfId="0" applyFont="1" applyBorder="1" applyAlignment="1">
      <alignment vertical="center"/>
    </xf>
    <xf numFmtId="0" fontId="0" fillId="0" borderId="33" xfId="0" applyBorder="1" applyAlignment="1">
      <alignment vertical="center"/>
    </xf>
    <xf numFmtId="0" fontId="0" fillId="0" borderId="25" xfId="0" applyBorder="1" applyAlignment="1">
      <alignment/>
    </xf>
    <xf numFmtId="0" fontId="38" fillId="0" borderId="0" xfId="0" applyFont="1" applyFill="1" applyBorder="1" applyAlignment="1">
      <alignment vertical="center"/>
    </xf>
    <xf numFmtId="0" fontId="22" fillId="0" borderId="0" xfId="0" applyFont="1" applyBorder="1" applyAlignment="1">
      <alignment vertical="center"/>
    </xf>
    <xf numFmtId="0" fontId="0" fillId="0" borderId="26" xfId="0" applyBorder="1" applyAlignment="1">
      <alignment/>
    </xf>
    <xf numFmtId="0" fontId="0" fillId="0" borderId="0" xfId="0" applyBorder="1" applyAlignment="1">
      <alignment horizontal="center" vertical="center"/>
    </xf>
    <xf numFmtId="0" fontId="0" fillId="0" borderId="0" xfId="0" applyBorder="1" applyAlignment="1">
      <alignment vertical="top"/>
    </xf>
    <xf numFmtId="0" fontId="0" fillId="0" borderId="0" xfId="0" applyBorder="1" applyAlignment="1">
      <alignment/>
    </xf>
    <xf numFmtId="0" fontId="0" fillId="0" borderId="26" xfId="0" applyBorder="1"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26" xfId="0" applyBorder="1" applyAlignment="1">
      <alignment vertical="center" wrapText="1"/>
    </xf>
    <xf numFmtId="0" fontId="0" fillId="0" borderId="0" xfId="0" applyFill="1" applyBorder="1" applyAlignment="1">
      <alignment/>
    </xf>
    <xf numFmtId="0" fontId="1" fillId="0" borderId="0" xfId="0" applyFont="1" applyBorder="1" applyAlignment="1">
      <alignment vertical="center" wrapText="1"/>
    </xf>
    <xf numFmtId="0" fontId="1" fillId="0" borderId="26" xfId="0" applyFont="1" applyBorder="1" applyAlignment="1">
      <alignment vertical="center" wrapText="1"/>
    </xf>
    <xf numFmtId="0" fontId="0" fillId="0" borderId="0" xfId="0" applyFill="1" applyBorder="1" applyAlignment="1">
      <alignment vertical="top"/>
    </xf>
    <xf numFmtId="0" fontId="38" fillId="0" borderId="25" xfId="0" applyFont="1" applyBorder="1" applyAlignment="1">
      <alignment horizontal="center" vertical="center" wrapText="1"/>
    </xf>
    <xf numFmtId="0" fontId="38" fillId="0" borderId="0" xfId="0" applyFont="1" applyBorder="1" applyAlignment="1">
      <alignment vertical="center"/>
    </xf>
    <xf numFmtId="0" fontId="6" fillId="0" borderId="25" xfId="0" applyFont="1" applyBorder="1" applyAlignment="1">
      <alignment horizontal="center" vertical="center"/>
    </xf>
    <xf numFmtId="0" fontId="1" fillId="0" borderId="0" xfId="0" applyFont="1" applyBorder="1" applyAlignment="1">
      <alignment horizontal="center" vertical="center"/>
    </xf>
    <xf numFmtId="0" fontId="6" fillId="0" borderId="25" xfId="0" applyFont="1" applyBorder="1" applyAlignment="1">
      <alignment horizont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top" wrapText="1"/>
    </xf>
    <xf numFmtId="0" fontId="7" fillId="0" borderId="25" xfId="0" applyFont="1" applyBorder="1" applyAlignment="1">
      <alignment horizontal="center" vertical="center" wrapText="1"/>
    </xf>
    <xf numFmtId="0" fontId="0" fillId="0" borderId="0" xfId="0" applyBorder="1" applyAlignment="1">
      <alignment horizontal="right" vertical="center" wrapText="1"/>
    </xf>
    <xf numFmtId="0" fontId="6" fillId="0" borderId="25" xfId="0" applyFont="1" applyBorder="1" applyAlignment="1">
      <alignment horizontal="center" vertical="center" wrapText="1"/>
    </xf>
    <xf numFmtId="0" fontId="0" fillId="0" borderId="0" xfId="0" applyFill="1" applyBorder="1" applyAlignment="1">
      <alignment vertical="center"/>
    </xf>
    <xf numFmtId="0" fontId="6" fillId="0" borderId="19"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2" fontId="0" fillId="0" borderId="37" xfId="0" applyNumberFormat="1" applyBorder="1" applyAlignment="1">
      <alignment/>
    </xf>
    <xf numFmtId="0" fontId="0" fillId="0" borderId="37" xfId="0" applyBorder="1" applyAlignment="1">
      <alignment/>
    </xf>
    <xf numFmtId="0" fontId="0" fillId="0" borderId="38" xfId="0" applyBorder="1" applyAlignment="1">
      <alignment/>
    </xf>
    <xf numFmtId="0" fontId="1" fillId="0" borderId="25" xfId="0" applyFont="1" applyBorder="1" applyAlignment="1">
      <alignment/>
    </xf>
    <xf numFmtId="0" fontId="0" fillId="0" borderId="15"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0" xfId="0" applyBorder="1" applyAlignment="1">
      <alignment vertical="center"/>
    </xf>
    <xf numFmtId="0" fontId="0" fillId="0" borderId="13" xfId="0" applyBorder="1" applyAlignment="1">
      <alignment vertical="center"/>
    </xf>
    <xf numFmtId="0" fontId="0" fillId="0" borderId="0" xfId="0" applyBorder="1" applyAlignment="1">
      <alignment horizontal="left" vertical="center"/>
    </xf>
    <xf numFmtId="0" fontId="0" fillId="0" borderId="14" xfId="0" applyBorder="1" applyAlignment="1">
      <alignment vertical="center"/>
    </xf>
    <xf numFmtId="0" fontId="0" fillId="0" borderId="15" xfId="0" applyBorder="1" applyAlignment="1">
      <alignment/>
    </xf>
    <xf numFmtId="0" fontId="0" fillId="0" borderId="42" xfId="0" applyBorder="1" applyAlignment="1">
      <alignment/>
    </xf>
    <xf numFmtId="0" fontId="0" fillId="0" borderId="28" xfId="0" applyBorder="1" applyAlignment="1">
      <alignment/>
    </xf>
    <xf numFmtId="0" fontId="0" fillId="0" borderId="0" xfId="0" applyBorder="1" applyAlignment="1">
      <alignment horizontal="center"/>
    </xf>
    <xf numFmtId="173" fontId="0" fillId="0" borderId="15" xfId="0" applyNumberFormat="1" applyBorder="1" applyAlignment="1">
      <alignment horizontal="left"/>
    </xf>
    <xf numFmtId="4" fontId="0" fillId="0" borderId="0" xfId="0" applyNumberFormat="1" applyBorder="1" applyAlignment="1">
      <alignment/>
    </xf>
    <xf numFmtId="173" fontId="0" fillId="0" borderId="15" xfId="0" applyNumberFormat="1" applyBorder="1" applyAlignment="1">
      <alignment/>
    </xf>
    <xf numFmtId="0" fontId="0" fillId="0" borderId="25" xfId="0" applyBorder="1" applyAlignment="1">
      <alignment horizontal="right"/>
    </xf>
    <xf numFmtId="0" fontId="0" fillId="0" borderId="0" xfId="0" applyBorder="1" applyAlignment="1" quotePrefix="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0" fillId="20" borderId="10" xfId="0" applyFill="1" applyBorder="1" applyAlignment="1">
      <alignment horizontal="center"/>
    </xf>
    <xf numFmtId="0" fontId="0" fillId="20" borderId="10" xfId="0" applyNumberFormat="1" applyFill="1" applyBorder="1" applyAlignment="1">
      <alignment horizontal="center"/>
    </xf>
    <xf numFmtId="0" fontId="13" fillId="0" borderId="10" xfId="0" applyFont="1" applyBorder="1" applyAlignment="1">
      <alignment vertical="center"/>
    </xf>
    <xf numFmtId="0" fontId="13" fillId="0" borderId="10" xfId="0" applyFont="1" applyBorder="1" applyAlignment="1">
      <alignment horizontal="center" vertical="center" wrapText="1"/>
    </xf>
    <xf numFmtId="2" fontId="13" fillId="0" borderId="10" xfId="0" applyNumberFormat="1" applyFont="1" applyBorder="1" applyAlignment="1">
      <alignment horizontal="center" vertical="center"/>
    </xf>
    <xf numFmtId="2" fontId="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xf>
    <xf numFmtId="174" fontId="13" fillId="0" borderId="10" xfId="0" applyNumberFormat="1" applyFont="1" applyBorder="1" applyAlignment="1">
      <alignment horizontal="center" vertical="center"/>
    </xf>
    <xf numFmtId="0" fontId="13" fillId="0" borderId="0" xfId="0" applyFont="1" applyAlignment="1">
      <alignment horizontal="center" vertical="center"/>
    </xf>
    <xf numFmtId="0" fontId="20" fillId="0" borderId="0" xfId="0" applyFont="1" applyAlignment="1">
      <alignment vertical="center"/>
    </xf>
    <xf numFmtId="0" fontId="45" fillId="0" borderId="0" xfId="0" applyFont="1" applyAlignment="1">
      <alignment vertical="center"/>
    </xf>
    <xf numFmtId="0" fontId="46" fillId="0" borderId="0" xfId="0" applyFont="1" applyAlignment="1">
      <alignment horizontal="left" vertical="center"/>
    </xf>
    <xf numFmtId="0" fontId="20" fillId="0" borderId="0" xfId="0" applyFont="1" applyAlignment="1">
      <alignment horizontal="right" vertical="center"/>
    </xf>
    <xf numFmtId="0" fontId="45" fillId="0" borderId="0" xfId="0" applyFont="1" applyBorder="1" applyAlignment="1">
      <alignment vertical="center"/>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8" fillId="0" borderId="10" xfId="0" applyFont="1" applyBorder="1" applyAlignment="1">
      <alignment horizontal="center" vertical="center"/>
    </xf>
    <xf numFmtId="0" fontId="19" fillId="0" borderId="10" xfId="0" applyFont="1" applyBorder="1" applyAlignment="1">
      <alignment horizontal="center" vertical="center"/>
    </xf>
    <xf numFmtId="2" fontId="19" fillId="0" borderId="10" xfId="0" applyNumberFormat="1" applyFont="1" applyBorder="1" applyAlignment="1">
      <alignment horizontal="center" vertical="center"/>
    </xf>
    <xf numFmtId="0" fontId="19" fillId="0" borderId="0" xfId="0" applyFont="1" applyAlignment="1">
      <alignment horizontal="center" vertical="center"/>
    </xf>
    <xf numFmtId="0" fontId="0" fillId="0" borderId="10" xfId="0" applyBorder="1" applyAlignment="1">
      <alignment vertical="center"/>
    </xf>
    <xf numFmtId="0" fontId="45" fillId="0" borderId="0" xfId="0" applyFont="1" applyAlignment="1">
      <alignment/>
    </xf>
    <xf numFmtId="0" fontId="49" fillId="0" borderId="0" xfId="0" applyFont="1" applyAlignment="1">
      <alignment/>
    </xf>
    <xf numFmtId="0" fontId="20" fillId="0" borderId="0" xfId="0" applyFont="1" applyAlignment="1">
      <alignment/>
    </xf>
    <xf numFmtId="0" fontId="4" fillId="0" borderId="0" xfId="0" applyFont="1" applyAlignment="1">
      <alignment horizontal="center"/>
    </xf>
    <xf numFmtId="0" fontId="4" fillId="0" borderId="0" xfId="0" applyFont="1" applyAlignment="1">
      <alignment/>
    </xf>
    <xf numFmtId="0" fontId="47" fillId="0" borderId="0" xfId="0" applyFont="1" applyAlignment="1">
      <alignment horizontal="center"/>
    </xf>
    <xf numFmtId="0" fontId="50" fillId="0" borderId="0" xfId="0" applyFont="1" applyAlignment="1">
      <alignment horizontal="center"/>
    </xf>
    <xf numFmtId="0" fontId="51" fillId="0" borderId="0" xfId="0" applyFont="1" applyAlignment="1">
      <alignment/>
    </xf>
    <xf numFmtId="0" fontId="4" fillId="0" borderId="0" xfId="0" applyFont="1" applyAlignment="1">
      <alignment/>
    </xf>
    <xf numFmtId="0" fontId="6" fillId="0" borderId="0" xfId="0" applyFont="1" applyAlignment="1">
      <alignment horizontal="center" vertical="center" textRotation="90" wrapText="1"/>
    </xf>
    <xf numFmtId="0" fontId="47" fillId="0" borderId="0" xfId="0" applyFont="1" applyAlignment="1">
      <alignment/>
    </xf>
    <xf numFmtId="0" fontId="25" fillId="0" borderId="0" xfId="0" applyFont="1" applyAlignment="1">
      <alignment/>
    </xf>
    <xf numFmtId="0" fontId="52" fillId="0" borderId="0" xfId="0" applyFont="1" applyAlignment="1">
      <alignment/>
    </xf>
    <xf numFmtId="0" fontId="53" fillId="0" borderId="0" xfId="0" applyFont="1" applyAlignment="1">
      <alignment/>
    </xf>
    <xf numFmtId="0" fontId="4" fillId="0" borderId="10" xfId="0" applyFont="1" applyBorder="1" applyAlignment="1">
      <alignment vertical="center"/>
    </xf>
    <xf numFmtId="0" fontId="50" fillId="0" borderId="10" xfId="0" applyFont="1" applyBorder="1" applyAlignment="1">
      <alignment horizontal="center" vertical="center"/>
    </xf>
    <xf numFmtId="0" fontId="20"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 fillId="0" borderId="10" xfId="0" applyFont="1" applyBorder="1" applyAlignment="1">
      <alignment/>
    </xf>
    <xf numFmtId="0" fontId="6" fillId="0" borderId="0" xfId="0" applyFont="1" applyAlignment="1">
      <alignment vertical="center" textRotation="90" wrapText="1"/>
    </xf>
    <xf numFmtId="0" fontId="50" fillId="0" borderId="0" xfId="0" applyFont="1" applyAlignment="1">
      <alignment/>
    </xf>
    <xf numFmtId="0" fontId="54" fillId="0" borderId="0" xfId="0" applyFont="1" applyAlignment="1">
      <alignment horizontal="center"/>
    </xf>
    <xf numFmtId="0" fontId="22" fillId="0" borderId="0" xfId="0" applyFont="1" applyAlignment="1">
      <alignment/>
    </xf>
    <xf numFmtId="0" fontId="6" fillId="0" borderId="0" xfId="0" applyFont="1" applyBorder="1" applyAlignment="1">
      <alignment textRotation="90" wrapText="1"/>
    </xf>
    <xf numFmtId="0" fontId="20" fillId="0" borderId="0" xfId="0" applyFont="1" applyAlignment="1">
      <alignment/>
    </xf>
    <xf numFmtId="0" fontId="55" fillId="0" borderId="0" xfId="0" applyFont="1" applyAlignment="1">
      <alignment/>
    </xf>
    <xf numFmtId="0" fontId="56" fillId="0" borderId="0" xfId="0" applyFont="1" applyAlignment="1">
      <alignment/>
    </xf>
    <xf numFmtId="0" fontId="54" fillId="0" borderId="0" xfId="0" applyFont="1" applyAlignment="1">
      <alignment/>
    </xf>
    <xf numFmtId="0" fontId="57" fillId="0" borderId="0" xfId="0" applyFont="1" applyAlignment="1">
      <alignment/>
    </xf>
    <xf numFmtId="0" fontId="58" fillId="0" borderId="0" xfId="0" applyFont="1" applyAlignment="1">
      <alignment/>
    </xf>
    <xf numFmtId="0" fontId="58" fillId="0" borderId="0" xfId="0" applyFont="1" applyAlignment="1" quotePrefix="1">
      <alignment/>
    </xf>
    <xf numFmtId="0" fontId="59" fillId="0" borderId="10" xfId="0" applyFont="1" applyBorder="1" applyAlignment="1">
      <alignment horizontal="center" vertical="center" wrapText="1"/>
    </xf>
    <xf numFmtId="0" fontId="60" fillId="0" borderId="0" xfId="0" applyFont="1" applyAlignment="1">
      <alignment/>
    </xf>
    <xf numFmtId="0" fontId="61" fillId="0" borderId="10" xfId="0" applyFont="1" applyBorder="1" applyAlignment="1">
      <alignment horizontal="center" vertical="center" wrapText="1"/>
    </xf>
    <xf numFmtId="176" fontId="0" fillId="0" borderId="0" xfId="0" applyNumberFormat="1" applyBorder="1" applyAlignment="1">
      <alignment/>
    </xf>
    <xf numFmtId="0" fontId="62" fillId="0" borderId="0" xfId="0" applyFont="1" applyAlignment="1">
      <alignment/>
    </xf>
    <xf numFmtId="0" fontId="63" fillId="0" borderId="0" xfId="0" applyFont="1" applyAlignment="1">
      <alignment/>
    </xf>
    <xf numFmtId="0" fontId="1" fillId="0" borderId="0" xfId="0" applyFont="1" applyAlignment="1">
      <alignment/>
    </xf>
    <xf numFmtId="0" fontId="64" fillId="0" borderId="0" xfId="0" applyFont="1" applyAlignment="1">
      <alignment/>
    </xf>
    <xf numFmtId="0" fontId="21" fillId="0" borderId="0" xfId="0" applyFont="1" applyAlignment="1">
      <alignment/>
    </xf>
    <xf numFmtId="0" fontId="0" fillId="0" borderId="0" xfId="0" applyAlignment="1">
      <alignment textRotation="90"/>
    </xf>
    <xf numFmtId="0" fontId="1" fillId="0" borderId="10" xfId="57" applyBorder="1" applyAlignment="1">
      <alignment horizontal="center" vertical="center" wrapText="1"/>
      <protection/>
    </xf>
    <xf numFmtId="0" fontId="67" fillId="0" borderId="10" xfId="57" applyFont="1" applyBorder="1" applyAlignment="1">
      <alignment horizontal="center" vertical="center" wrapText="1"/>
      <protection/>
    </xf>
    <xf numFmtId="0" fontId="1" fillId="0" borderId="43" xfId="57" applyBorder="1" applyAlignment="1">
      <alignment horizontal="center"/>
      <protection/>
    </xf>
    <xf numFmtId="0" fontId="1" fillId="0" borderId="10" xfId="57" applyBorder="1" applyAlignment="1">
      <alignment horizontal="center"/>
      <protection/>
    </xf>
    <xf numFmtId="0" fontId="1" fillId="0" borderId="44" xfId="57" applyBorder="1" applyAlignment="1">
      <alignment horizontal="center"/>
      <protection/>
    </xf>
    <xf numFmtId="14" fontId="1" fillId="0" borderId="10" xfId="57" applyNumberFormat="1" applyBorder="1" applyAlignment="1">
      <alignment horizontal="center" vertical="center"/>
      <protection/>
    </xf>
    <xf numFmtId="0" fontId="1" fillId="0" borderId="10" xfId="57" applyBorder="1" applyAlignment="1">
      <alignment horizontal="center" vertical="center"/>
      <protection/>
    </xf>
    <xf numFmtId="0" fontId="1" fillId="0" borderId="10" xfId="57" applyFont="1" applyBorder="1" applyAlignment="1">
      <alignment horizontal="center" vertical="center"/>
      <protection/>
    </xf>
    <xf numFmtId="0" fontId="1" fillId="0" borderId="44" xfId="57" applyBorder="1" applyAlignment="1">
      <alignment horizontal="center" vertical="center"/>
      <protection/>
    </xf>
    <xf numFmtId="0" fontId="1" fillId="0" borderId="10" xfId="57" applyNumberFormat="1" applyBorder="1" applyAlignment="1">
      <alignment horizontal="center" vertical="center"/>
      <protection/>
    </xf>
    <xf numFmtId="14" fontId="1" fillId="0" borderId="10" xfId="57" applyNumberFormat="1" applyBorder="1" applyAlignment="1">
      <alignment vertical="center"/>
      <protection/>
    </xf>
    <xf numFmtId="0" fontId="1" fillId="0" borderId="10" xfId="57" applyBorder="1">
      <alignment/>
      <protection/>
    </xf>
    <xf numFmtId="0" fontId="1" fillId="0" borderId="45" xfId="57" applyBorder="1">
      <alignment/>
      <protection/>
    </xf>
    <xf numFmtId="0" fontId="1" fillId="0" borderId="0" xfId="57" applyBorder="1">
      <alignment/>
      <protection/>
    </xf>
    <xf numFmtId="0" fontId="1" fillId="0" borderId="46" xfId="57" applyBorder="1">
      <alignment/>
      <protection/>
    </xf>
    <xf numFmtId="0" fontId="1" fillId="0" borderId="0" xfId="57" applyBorder="1" applyAlignment="1">
      <alignment horizontal="center"/>
      <protection/>
    </xf>
    <xf numFmtId="0" fontId="1" fillId="0" borderId="47" xfId="57" applyBorder="1">
      <alignment/>
      <protection/>
    </xf>
    <xf numFmtId="0" fontId="1" fillId="0" borderId="48" xfId="57" applyBorder="1">
      <alignment/>
      <protection/>
    </xf>
    <xf numFmtId="0" fontId="1" fillId="0" borderId="48" xfId="57" applyBorder="1" applyAlignment="1">
      <alignment horizontal="center"/>
      <protection/>
    </xf>
    <xf numFmtId="0" fontId="0" fillId="0" borderId="48" xfId="0" applyBorder="1" applyAlignment="1">
      <alignment/>
    </xf>
    <xf numFmtId="0" fontId="0" fillId="0" borderId="49" xfId="0" applyBorder="1" applyAlignment="1">
      <alignment/>
    </xf>
    <xf numFmtId="0" fontId="4" fillId="0" borderId="39" xfId="57" applyFont="1" applyBorder="1" applyAlignment="1">
      <alignment horizontal="center" vertical="center"/>
      <protection/>
    </xf>
    <xf numFmtId="0" fontId="4" fillId="0" borderId="13" xfId="57" applyFont="1" applyBorder="1">
      <alignment/>
      <protection/>
    </xf>
    <xf numFmtId="0" fontId="4" fillId="0" borderId="0" xfId="57" applyFont="1" applyBorder="1" applyAlignment="1">
      <alignment vertical="top" wrapText="1"/>
      <protection/>
    </xf>
    <xf numFmtId="0" fontId="4" fillId="0" borderId="12" xfId="57" applyFont="1" applyBorder="1" applyAlignment="1">
      <alignment vertical="top" wrapText="1"/>
      <protection/>
    </xf>
    <xf numFmtId="0" fontId="1" fillId="0" borderId="13" xfId="57" applyBorder="1" applyAlignment="1">
      <alignment vertical="top" wrapText="1"/>
      <protection/>
    </xf>
    <xf numFmtId="0" fontId="1" fillId="0" borderId="0" xfId="57" applyBorder="1" applyAlignment="1">
      <alignment vertical="top" wrapText="1"/>
      <protection/>
    </xf>
    <xf numFmtId="0" fontId="1" fillId="0" borderId="12" xfId="57" applyBorder="1" applyAlignment="1">
      <alignment vertical="top" wrapText="1"/>
      <protection/>
    </xf>
    <xf numFmtId="0" fontId="4" fillId="0" borderId="0" xfId="57" applyFont="1" applyBorder="1">
      <alignment/>
      <protection/>
    </xf>
    <xf numFmtId="0" fontId="1" fillId="0" borderId="12" xfId="57" applyBorder="1">
      <alignment/>
      <protection/>
    </xf>
    <xf numFmtId="0" fontId="1" fillId="0" borderId="13" xfId="57" applyBorder="1">
      <alignment/>
      <protection/>
    </xf>
    <xf numFmtId="0" fontId="1" fillId="0" borderId="0" xfId="57" applyBorder="1" applyAlignment="1">
      <alignment horizontal="right"/>
      <protection/>
    </xf>
    <xf numFmtId="0" fontId="1" fillId="0" borderId="0" xfId="57" applyBorder="1" applyAlignment="1">
      <alignment horizontal="left"/>
      <protection/>
    </xf>
    <xf numFmtId="0" fontId="1" fillId="0" borderId="12" xfId="57" applyBorder="1" applyAlignment="1">
      <alignment horizontal="left"/>
      <protection/>
    </xf>
    <xf numFmtId="0" fontId="42" fillId="0" borderId="0" xfId="57" applyFont="1" applyBorder="1">
      <alignment/>
      <protection/>
    </xf>
    <xf numFmtId="0" fontId="1" fillId="0" borderId="0" xfId="57" applyFont="1" applyBorder="1">
      <alignment/>
      <protection/>
    </xf>
    <xf numFmtId="0" fontId="42" fillId="0" borderId="13" xfId="57" applyFont="1" applyBorder="1">
      <alignment/>
      <protection/>
    </xf>
    <xf numFmtId="0" fontId="1" fillId="0" borderId="0" xfId="57" applyFont="1" applyBorder="1" applyAlignment="1">
      <alignment horizontal="left"/>
      <protection/>
    </xf>
    <xf numFmtId="0" fontId="1" fillId="0" borderId="0" xfId="57" applyBorder="1" applyAlignment="1">
      <alignment shrinkToFit="1"/>
      <protection/>
    </xf>
    <xf numFmtId="0" fontId="1" fillId="0" borderId="14" xfId="57" applyBorder="1">
      <alignment/>
      <protection/>
    </xf>
    <xf numFmtId="0" fontId="1" fillId="0" borderId="15" xfId="57" applyBorder="1">
      <alignment/>
      <protection/>
    </xf>
    <xf numFmtId="0" fontId="1" fillId="0" borderId="16" xfId="57" applyBorder="1">
      <alignment/>
      <protection/>
    </xf>
    <xf numFmtId="0" fontId="0" fillId="15" borderId="0" xfId="0" applyFill="1" applyAlignment="1">
      <alignment/>
    </xf>
    <xf numFmtId="0" fontId="15" fillId="7" borderId="10" xfId="0" applyFont="1" applyFill="1" applyBorder="1" applyAlignment="1">
      <alignment horizontal="center" vertical="center"/>
    </xf>
    <xf numFmtId="0" fontId="8" fillId="25" borderId="10" xfId="0" applyFont="1" applyFill="1" applyBorder="1" applyAlignment="1">
      <alignment/>
    </xf>
    <xf numFmtId="0" fontId="8" fillId="25" borderId="10" xfId="0" applyFont="1" applyFill="1" applyBorder="1" applyAlignment="1">
      <alignment vertical="center" wrapText="1"/>
    </xf>
    <xf numFmtId="0" fontId="8" fillId="25" borderId="10" xfId="0" applyFont="1" applyFill="1" applyBorder="1" applyAlignment="1">
      <alignment wrapText="1"/>
    </xf>
    <xf numFmtId="0" fontId="8" fillId="25" borderId="10" xfId="0" applyFont="1" applyFill="1" applyBorder="1" applyAlignment="1">
      <alignment horizontal="left" vertical="center"/>
    </xf>
    <xf numFmtId="0" fontId="8" fillId="7" borderId="10" xfId="0" applyFont="1" applyFill="1" applyBorder="1" applyAlignment="1">
      <alignment horizontal="left"/>
    </xf>
    <xf numFmtId="0" fontId="8" fillId="15" borderId="0" xfId="0" applyFont="1" applyFill="1" applyAlignment="1">
      <alignment/>
    </xf>
    <xf numFmtId="0" fontId="8" fillId="7" borderId="10" xfId="0" applyFont="1" applyFill="1" applyBorder="1" applyAlignment="1">
      <alignment/>
    </xf>
    <xf numFmtId="0" fontId="8" fillId="7" borderId="11" xfId="0" applyFont="1" applyFill="1" applyBorder="1" applyAlignment="1">
      <alignment/>
    </xf>
    <xf numFmtId="0" fontId="8" fillId="7" borderId="10" xfId="0" applyFont="1" applyFill="1" applyBorder="1" applyAlignment="1">
      <alignment horizontal="center"/>
    </xf>
    <xf numFmtId="14" fontId="8" fillId="7" borderId="10" xfId="0" applyNumberFormat="1" applyFont="1" applyFill="1" applyBorder="1" applyAlignment="1">
      <alignment horizontal="left"/>
    </xf>
    <xf numFmtId="0" fontId="70" fillId="7" borderId="10" xfId="0" applyFont="1" applyFill="1" applyBorder="1" applyAlignment="1">
      <alignment horizontal="left" vertical="center"/>
    </xf>
    <xf numFmtId="0" fontId="71" fillId="7" borderId="10" xfId="0" applyNumberFormat="1" applyFont="1" applyFill="1" applyBorder="1" applyAlignment="1">
      <alignment horizontal="left" vertical="center"/>
    </xf>
    <xf numFmtId="0" fontId="8" fillId="7" borderId="11" xfId="0" applyFont="1" applyFill="1" applyBorder="1" applyAlignment="1">
      <alignment horizontal="left"/>
    </xf>
    <xf numFmtId="0" fontId="8" fillId="7" borderId="50" xfId="0" applyFont="1" applyFill="1" applyBorder="1" applyAlignment="1">
      <alignment horizontal="left"/>
    </xf>
    <xf numFmtId="0" fontId="74" fillId="0" borderId="15" xfId="0" applyFont="1" applyBorder="1" applyAlignment="1">
      <alignment/>
    </xf>
    <xf numFmtId="0" fontId="75" fillId="0" borderId="0" xfId="0" applyFont="1" applyAlignment="1">
      <alignment horizontal="left" vertical="center" wrapText="1"/>
    </xf>
    <xf numFmtId="173" fontId="19" fillId="0" borderId="10" xfId="0" applyNumberFormat="1" applyFont="1" applyBorder="1" applyAlignment="1">
      <alignment horizontal="center" vertical="center"/>
    </xf>
    <xf numFmtId="173" fontId="51" fillId="0" borderId="0" xfId="0" applyNumberFormat="1" applyFont="1" applyAlignment="1">
      <alignment vertical="center" wrapText="1"/>
    </xf>
    <xf numFmtId="0" fontId="57" fillId="0" borderId="0" xfId="0" applyFont="1" applyAlignment="1">
      <alignment vertical="center" wrapText="1"/>
    </xf>
    <xf numFmtId="0" fontId="0" fillId="0" borderId="0" xfId="0" applyBorder="1" applyAlignment="1">
      <alignment horizontal="left"/>
    </xf>
    <xf numFmtId="0" fontId="0" fillId="0" borderId="10" xfId="0" applyBorder="1" applyAlignment="1">
      <alignment horizontal="right"/>
    </xf>
    <xf numFmtId="14" fontId="8" fillId="7" borderId="11" xfId="0" applyNumberFormat="1" applyFont="1" applyFill="1" applyBorder="1" applyAlignment="1">
      <alignment horizontal="left"/>
    </xf>
    <xf numFmtId="0" fontId="0" fillId="0" borderId="13" xfId="0" applyBorder="1" applyAlignment="1">
      <alignment/>
    </xf>
    <xf numFmtId="0" fontId="0" fillId="0" borderId="12" xfId="0" applyBorder="1" applyAlignment="1">
      <alignment/>
    </xf>
    <xf numFmtId="0" fontId="10" fillId="0" borderId="0" xfId="0" applyFont="1" applyBorder="1" applyAlignment="1">
      <alignment/>
    </xf>
    <xf numFmtId="0" fontId="1" fillId="0" borderId="12" xfId="0" applyFont="1" applyBorder="1" applyAlignment="1">
      <alignment/>
    </xf>
    <xf numFmtId="0" fontId="1" fillId="0" borderId="12" xfId="0" applyFont="1" applyFill="1" applyBorder="1" applyAlignment="1">
      <alignment/>
    </xf>
    <xf numFmtId="0" fontId="2" fillId="0" borderId="12" xfId="0" applyFont="1" applyBorder="1" applyAlignment="1">
      <alignment/>
    </xf>
    <xf numFmtId="0" fontId="11" fillId="0" borderId="13" xfId="0" applyFont="1" applyBorder="1" applyAlignment="1">
      <alignment/>
    </xf>
    <xf numFmtId="14" fontId="0" fillId="0" borderId="0" xfId="0" applyNumberFormat="1" applyBorder="1" applyAlignment="1">
      <alignment horizontal="left"/>
    </xf>
    <xf numFmtId="0" fontId="0" fillId="0" borderId="0" xfId="0" applyNumberFormat="1" applyBorder="1" applyAlignment="1">
      <alignment horizontal="left"/>
    </xf>
    <xf numFmtId="14" fontId="0" fillId="0" borderId="0" xfId="0" applyNumberFormat="1" applyBorder="1" applyAlignment="1">
      <alignment/>
    </xf>
    <xf numFmtId="0" fontId="0" fillId="0" borderId="13" xfId="0" applyBorder="1" applyAlignment="1">
      <alignment horizontal="right" vertical="center"/>
    </xf>
    <xf numFmtId="0" fontId="0" fillId="0" borderId="12" xfId="0" applyBorder="1" applyAlignment="1">
      <alignment horizontal="left"/>
    </xf>
    <xf numFmtId="0" fontId="0" fillId="0" borderId="0" xfId="0" applyBorder="1" applyAlignment="1">
      <alignment horizontal="left" vertical="top"/>
    </xf>
    <xf numFmtId="14" fontId="10" fillId="0" borderId="0" xfId="0" applyNumberFormat="1" applyFont="1" applyBorder="1" applyAlignment="1">
      <alignment/>
    </xf>
    <xf numFmtId="0" fontId="10" fillId="0" borderId="0"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14" fontId="0" fillId="0" borderId="0" xfId="0" applyNumberFormat="1" applyBorder="1" applyAlignment="1">
      <alignment horizontal="right"/>
    </xf>
    <xf numFmtId="0" fontId="0" fillId="0" borderId="0" xfId="0" applyBorder="1" applyAlignment="1">
      <alignment horizontal="right"/>
    </xf>
    <xf numFmtId="0" fontId="6" fillId="0" borderId="13" xfId="0" applyFont="1" applyBorder="1" applyAlignment="1">
      <alignment/>
    </xf>
    <xf numFmtId="0" fontId="5" fillId="0" borderId="0" xfId="0" applyFont="1" applyBorder="1" applyAlignment="1">
      <alignment/>
    </xf>
    <xf numFmtId="0" fontId="7" fillId="0" borderId="0" xfId="0" applyFont="1" applyBorder="1" applyAlignment="1">
      <alignment/>
    </xf>
    <xf numFmtId="0" fontId="5" fillId="0" borderId="12" xfId="0" applyFont="1" applyBorder="1" applyAlignment="1">
      <alignment/>
    </xf>
    <xf numFmtId="0" fontId="7" fillId="0" borderId="0" xfId="0" applyFont="1" applyBorder="1" applyAlignment="1">
      <alignment horizontal="left" vertical="top"/>
    </xf>
    <xf numFmtId="0" fontId="0" fillId="0" borderId="14" xfId="0" applyBorder="1" applyAlignment="1">
      <alignment/>
    </xf>
    <xf numFmtId="0" fontId="0" fillId="0" borderId="16" xfId="0" applyBorder="1" applyAlignment="1">
      <alignment/>
    </xf>
    <xf numFmtId="14" fontId="0" fillId="0" borderId="13" xfId="0" applyNumberFormat="1" applyBorder="1" applyAlignment="1">
      <alignment horizontal="left" vertical="center" wrapText="1"/>
    </xf>
    <xf numFmtId="14" fontId="0" fillId="0" borderId="0" xfId="0" applyNumberFormat="1" applyBorder="1" applyAlignment="1">
      <alignment horizontal="left" vertical="center" wrapText="1"/>
    </xf>
    <xf numFmtId="0" fontId="0" fillId="0" borderId="10" xfId="0" applyBorder="1" applyAlignment="1">
      <alignment horizontal="left" wrapText="1"/>
    </xf>
    <xf numFmtId="14" fontId="0" fillId="0" borderId="39" xfId="0" applyNumberFormat="1" applyBorder="1" applyAlignment="1">
      <alignment horizontal="left" vertical="center" wrapText="1"/>
    </xf>
    <xf numFmtId="14" fontId="0" fillId="0" borderId="40" xfId="0" applyNumberFormat="1" applyBorder="1" applyAlignment="1">
      <alignment horizontal="left" vertical="center" wrapText="1"/>
    </xf>
    <xf numFmtId="14" fontId="0" fillId="0" borderId="51" xfId="0" applyNumberFormat="1" applyBorder="1" applyAlignment="1">
      <alignment horizontal="left" vertical="center" wrapText="1"/>
    </xf>
    <xf numFmtId="0" fontId="16" fillId="0" borderId="15" xfId="0" applyFont="1" applyBorder="1" applyAlignment="1">
      <alignment horizontal="center" vertical="center"/>
    </xf>
    <xf numFmtId="0" fontId="0" fillId="0" borderId="10" xfId="0" applyBorder="1" applyAlignment="1">
      <alignment horizontal="left"/>
    </xf>
    <xf numFmtId="0" fontId="0" fillId="0" borderId="10" xfId="0" applyBorder="1" applyAlignment="1">
      <alignment horizontal="center"/>
    </xf>
    <xf numFmtId="14" fontId="0" fillId="0" borderId="0" xfId="0" applyNumberFormat="1" applyAlignment="1">
      <alignment horizontal="center"/>
    </xf>
    <xf numFmtId="0" fontId="0" fillId="0" borderId="10" xfId="0" applyBorder="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right" vertical="center"/>
    </xf>
    <xf numFmtId="0" fontId="0" fillId="0" borderId="23" xfId="0" applyBorder="1" applyAlignment="1">
      <alignment horizontal="center"/>
    </xf>
    <xf numFmtId="0" fontId="0" fillId="0" borderId="24" xfId="0" applyBorder="1" applyAlignment="1">
      <alignment horizontal="center"/>
    </xf>
    <xf numFmtId="0" fontId="0" fillId="0" borderId="52" xfId="0" applyBorder="1" applyAlignment="1">
      <alignment horizontal="center"/>
    </xf>
    <xf numFmtId="0" fontId="10" fillId="0" borderId="0" xfId="0" applyFont="1" applyBorder="1" applyAlignment="1">
      <alignment horizontal="left" vertical="top" wrapText="1"/>
    </xf>
    <xf numFmtId="0" fontId="8" fillId="7" borderId="10" xfId="0" applyFont="1" applyFill="1" applyBorder="1" applyAlignment="1">
      <alignment horizontal="left"/>
    </xf>
    <xf numFmtId="0" fontId="8" fillId="4" borderId="0" xfId="0" applyFont="1" applyFill="1" applyAlignment="1">
      <alignment horizontal="center"/>
    </xf>
    <xf numFmtId="173" fontId="8" fillId="7" borderId="10" xfId="0" applyNumberFormat="1" applyFont="1" applyFill="1" applyBorder="1" applyAlignment="1">
      <alignment horizontal="center"/>
    </xf>
    <xf numFmtId="0" fontId="8" fillId="15" borderId="13" xfId="0" applyFont="1" applyFill="1" applyBorder="1" applyAlignment="1">
      <alignment horizontal="center" vertical="center" wrapText="1"/>
    </xf>
    <xf numFmtId="0" fontId="8" fillId="15" borderId="0" xfId="0" applyFont="1" applyFill="1" applyAlignment="1">
      <alignment horizontal="center" vertical="center" wrapText="1"/>
    </xf>
    <xf numFmtId="0" fontId="8" fillId="7" borderId="10" xfId="0" applyFont="1" applyFill="1" applyBorder="1" applyAlignment="1" quotePrefix="1">
      <alignment horizontal="left"/>
    </xf>
    <xf numFmtId="0" fontId="8" fillId="7" borderId="23" xfId="0" applyFont="1" applyFill="1" applyBorder="1" applyAlignment="1">
      <alignment horizontal="left"/>
    </xf>
    <xf numFmtId="0" fontId="8" fillId="7" borderId="24" xfId="0" applyFont="1" applyFill="1" applyBorder="1" applyAlignment="1">
      <alignment horizontal="left"/>
    </xf>
    <xf numFmtId="0" fontId="8" fillId="7" borderId="52" xfId="0" applyFont="1" applyFill="1" applyBorder="1" applyAlignment="1">
      <alignment horizontal="left"/>
    </xf>
    <xf numFmtId="2" fontId="8" fillId="7" borderId="23" xfId="0" applyNumberFormat="1" applyFont="1" applyFill="1" applyBorder="1" applyAlignment="1">
      <alignment horizontal="left"/>
    </xf>
    <xf numFmtId="0" fontId="8" fillId="7" borderId="10" xfId="0" applyFont="1" applyFill="1" applyBorder="1" applyAlignment="1">
      <alignment horizontal="left" vertical="center" wrapText="1"/>
    </xf>
    <xf numFmtId="0" fontId="0" fillId="0" borderId="13"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51" xfId="0" applyBorder="1" applyAlignment="1">
      <alignment horizontal="center"/>
    </xf>
    <xf numFmtId="0" fontId="0" fillId="0" borderId="0" xfId="0" applyBorder="1" applyAlignment="1">
      <alignment horizontal="left" vertical="center"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wrapText="1"/>
    </xf>
    <xf numFmtId="0" fontId="19" fillId="0" borderId="13" xfId="0" applyFont="1" applyBorder="1" applyAlignment="1">
      <alignment horizontal="left" vertical="center" wrapText="1"/>
    </xf>
    <xf numFmtId="0" fontId="19"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14" fontId="0" fillId="0" borderId="12" xfId="0" applyNumberFormat="1" applyBorder="1" applyAlignment="1">
      <alignment horizontal="left" vertical="center" wrapText="1"/>
    </xf>
    <xf numFmtId="14" fontId="0" fillId="0" borderId="14" xfId="0" applyNumberFormat="1" applyBorder="1" applyAlignment="1">
      <alignment horizontal="left" vertical="center" wrapText="1"/>
    </xf>
    <xf numFmtId="14" fontId="0" fillId="0" borderId="15" xfId="0" applyNumberFormat="1" applyBorder="1" applyAlignment="1">
      <alignment horizontal="left" vertical="center" wrapText="1"/>
    </xf>
    <xf numFmtId="14" fontId="0" fillId="0" borderId="16" xfId="0" applyNumberFormat="1" applyBorder="1" applyAlignment="1">
      <alignment horizontal="left" vertical="center" wrapText="1"/>
    </xf>
    <xf numFmtId="2" fontId="30" fillId="0" borderId="0" xfId="0" applyNumberFormat="1" applyFont="1" applyBorder="1" applyAlignment="1">
      <alignment horizontal="right" vertical="center"/>
    </xf>
    <xf numFmtId="0" fontId="30" fillId="0" borderId="0" xfId="0" applyFont="1" applyBorder="1" applyAlignment="1">
      <alignment horizontal="right" vertical="center"/>
    </xf>
    <xf numFmtId="0" fontId="30" fillId="0" borderId="17" xfId="0" applyFont="1" applyBorder="1" applyAlignment="1">
      <alignment horizontal="righ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30" fillId="0" borderId="0" xfId="0" applyFont="1" applyBorder="1" applyAlignment="1">
      <alignment horizontal="center" vertical="center"/>
    </xf>
    <xf numFmtId="0" fontId="30" fillId="0" borderId="17" xfId="0" applyFont="1" applyBorder="1" applyAlignment="1">
      <alignment horizontal="center" vertical="center"/>
    </xf>
    <xf numFmtId="2" fontId="30" fillId="0" borderId="17" xfId="0" applyNumberFormat="1" applyFont="1" applyBorder="1" applyAlignment="1">
      <alignment horizontal="right" vertical="center"/>
    </xf>
    <xf numFmtId="0" fontId="30" fillId="0" borderId="12" xfId="0" applyFont="1" applyBorder="1" applyAlignment="1">
      <alignment horizontal="center" vertical="center"/>
    </xf>
    <xf numFmtId="2" fontId="30" fillId="0" borderId="19" xfId="0" applyNumberFormat="1" applyFont="1" applyBorder="1" applyAlignment="1">
      <alignment horizontal="right" vertical="center"/>
    </xf>
    <xf numFmtId="2" fontId="30" fillId="0" borderId="22" xfId="0" applyNumberFormat="1" applyFont="1" applyBorder="1" applyAlignment="1">
      <alignment horizontal="right" vertical="center"/>
    </xf>
    <xf numFmtId="0" fontId="30" fillId="0" borderId="12" xfId="0" applyFont="1" applyBorder="1" applyAlignment="1">
      <alignment horizontal="right" vertical="center"/>
    </xf>
    <xf numFmtId="2" fontId="30" fillId="0" borderId="0" xfId="0" applyNumberFormat="1" applyFont="1" applyBorder="1" applyAlignment="1">
      <alignment horizontal="center" vertical="center"/>
    </xf>
    <xf numFmtId="2" fontId="30" fillId="0" borderId="12" xfId="0" applyNumberFormat="1" applyFont="1" applyBorder="1" applyAlignment="1">
      <alignment horizontal="right" vertical="center"/>
    </xf>
    <xf numFmtId="0" fontId="21" fillId="0" borderId="0" xfId="0" applyFont="1" applyBorder="1" applyAlignment="1">
      <alignment horizontal="center" vertical="center" textRotation="90"/>
    </xf>
    <xf numFmtId="0" fontId="1" fillId="0" borderId="0" xfId="0" applyFont="1" applyBorder="1" applyAlignment="1">
      <alignment horizontal="center"/>
    </xf>
    <xf numFmtId="0" fontId="1" fillId="0" borderId="17" xfId="0" applyFont="1" applyBorder="1" applyAlignment="1">
      <alignment horizont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25" fillId="0" borderId="19"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2" fontId="30" fillId="0" borderId="21" xfId="0" applyNumberFormat="1" applyFont="1" applyBorder="1" applyAlignment="1">
      <alignment horizontal="right" vertical="center"/>
    </xf>
    <xf numFmtId="2" fontId="30" fillId="0" borderId="56" xfId="0" applyNumberFormat="1" applyFont="1" applyBorder="1" applyAlignment="1">
      <alignment horizontal="righ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2" fontId="30" fillId="0" borderId="26" xfId="0" applyNumberFormat="1" applyFont="1" applyBorder="1" applyAlignment="1">
      <alignment horizontal="right" vertical="center"/>
    </xf>
    <xf numFmtId="2" fontId="30" fillId="0" borderId="12" xfId="0" applyNumberFormat="1" applyFont="1" applyBorder="1" applyAlignment="1">
      <alignment horizontal="center" vertical="center"/>
    </xf>
    <xf numFmtId="172" fontId="30" fillId="0" borderId="0" xfId="0" applyNumberFormat="1" applyFont="1" applyBorder="1" applyAlignment="1">
      <alignment horizontal="center" vertical="center"/>
    </xf>
    <xf numFmtId="172" fontId="30" fillId="0" borderId="12" xfId="0" applyNumberFormat="1" applyFont="1" applyBorder="1" applyAlignment="1">
      <alignment horizontal="center" vertical="center"/>
    </xf>
    <xf numFmtId="0" fontId="31" fillId="0" borderId="40" xfId="0" applyFont="1" applyBorder="1" applyAlignment="1">
      <alignment horizontal="center" vertical="center"/>
    </xf>
    <xf numFmtId="0" fontId="20" fillId="0" borderId="40" xfId="0" applyFont="1" applyBorder="1" applyAlignment="1">
      <alignment horizontal="center" vertical="center"/>
    </xf>
    <xf numFmtId="0" fontId="20" fillId="0" borderId="51" xfId="0" applyFont="1" applyBorder="1" applyAlignment="1">
      <alignment horizontal="center" vertical="center"/>
    </xf>
    <xf numFmtId="172" fontId="30" fillId="0" borderId="0" xfId="0" applyNumberFormat="1" applyFont="1" applyBorder="1" applyAlignment="1">
      <alignment horizontal="right" vertical="center"/>
    </xf>
    <xf numFmtId="172" fontId="30" fillId="0" borderId="12" xfId="0" applyNumberFormat="1" applyFont="1" applyBorder="1" applyAlignment="1">
      <alignment horizontal="right" vertical="center"/>
    </xf>
    <xf numFmtId="0" fontId="20" fillId="0" borderId="13"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12" xfId="0" applyFont="1" applyBorder="1" applyAlignment="1">
      <alignment horizontal="center" vertical="center" shrinkToFit="1"/>
    </xf>
    <xf numFmtId="0" fontId="24" fillId="0" borderId="10" xfId="0" applyFont="1" applyBorder="1" applyAlignment="1">
      <alignment horizontal="center" vertical="center"/>
    </xf>
    <xf numFmtId="0" fontId="4" fillId="0" borderId="12" xfId="0" applyFont="1" applyBorder="1" applyAlignment="1">
      <alignment horizontal="left"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52"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0" fillId="0" borderId="26" xfId="0" applyBorder="1" applyAlignment="1">
      <alignment horizontal="left" vertical="top" wrapText="1"/>
    </xf>
    <xf numFmtId="0" fontId="38" fillId="0" borderId="0" xfId="0" applyFont="1" applyFill="1" applyBorder="1" applyAlignment="1">
      <alignment horizontal="left" vertical="center" wrapText="1"/>
    </xf>
    <xf numFmtId="0" fontId="38" fillId="0" borderId="26" xfId="0" applyFont="1" applyFill="1" applyBorder="1" applyAlignment="1">
      <alignment horizontal="left" vertical="center" wrapText="1"/>
    </xf>
    <xf numFmtId="0" fontId="0" fillId="0" borderId="26" xfId="0" applyBorder="1" applyAlignment="1">
      <alignment horizontal="left" vertical="center" wrapText="1"/>
    </xf>
    <xf numFmtId="2" fontId="0" fillId="0" borderId="0" xfId="0" applyNumberFormat="1"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39" fillId="0" borderId="57" xfId="0" applyFont="1" applyBorder="1" applyAlignment="1">
      <alignment horizontal="center"/>
    </xf>
    <xf numFmtId="0" fontId="39" fillId="0" borderId="58" xfId="0" applyFont="1" applyBorder="1" applyAlignment="1">
      <alignment horizontal="center"/>
    </xf>
    <xf numFmtId="0" fontId="39" fillId="0" borderId="59" xfId="0" applyFont="1" applyBorder="1" applyAlignment="1">
      <alignment horizontal="center"/>
    </xf>
    <xf numFmtId="0" fontId="40" fillId="0" borderId="25" xfId="0" applyFont="1" applyBorder="1" applyAlignment="1">
      <alignment horizontal="center" vertical="center"/>
    </xf>
    <xf numFmtId="0" fontId="40" fillId="0" borderId="0" xfId="0" applyFont="1" applyBorder="1" applyAlignment="1">
      <alignment horizontal="center" vertical="center"/>
    </xf>
    <xf numFmtId="0" fontId="40" fillId="0" borderId="26" xfId="0" applyFont="1" applyBorder="1" applyAlignment="1">
      <alignment horizontal="center" vertical="center"/>
    </xf>
    <xf numFmtId="0" fontId="0" fillId="0" borderId="25" xfId="0" applyBorder="1" applyAlignment="1">
      <alignment horizontal="center" vertical="top"/>
    </xf>
    <xf numFmtId="0" fontId="0" fillId="0" borderId="0" xfId="0" applyBorder="1" applyAlignment="1">
      <alignment horizontal="center" vertical="top"/>
    </xf>
    <xf numFmtId="0" fontId="0" fillId="0" borderId="26" xfId="0" applyBorder="1" applyAlignment="1">
      <alignment horizontal="center" vertical="top"/>
    </xf>
    <xf numFmtId="0" fontId="13" fillId="0" borderId="23" xfId="0" applyFont="1" applyBorder="1" applyAlignment="1">
      <alignment horizontal="center" vertical="center"/>
    </xf>
    <xf numFmtId="0" fontId="13" fillId="0" borderId="52" xfId="0" applyFont="1" applyBorder="1" applyAlignment="1">
      <alignment horizontal="center" vertical="center"/>
    </xf>
    <xf numFmtId="2" fontId="0" fillId="0" borderId="15" xfId="0" applyNumberFormat="1" applyBorder="1" applyAlignment="1">
      <alignment horizontal="left"/>
    </xf>
    <xf numFmtId="0" fontId="0" fillId="0" borderId="15" xfId="0" applyBorder="1" applyAlignment="1">
      <alignment horizontal="left"/>
    </xf>
    <xf numFmtId="173" fontId="0" fillId="0" borderId="15" xfId="0" applyNumberFormat="1" applyBorder="1" applyAlignment="1">
      <alignment horizontal="left"/>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42" fillId="0" borderId="40" xfId="0" applyFont="1" applyBorder="1" applyAlignment="1">
      <alignment horizontal="center"/>
    </xf>
    <xf numFmtId="0" fontId="13" fillId="0" borderId="24" xfId="0" applyFont="1" applyBorder="1" applyAlignment="1">
      <alignment horizontal="center" vertical="center"/>
    </xf>
    <xf numFmtId="0" fontId="0" fillId="0" borderId="23" xfId="0" applyBorder="1" applyAlignment="1" quotePrefix="1">
      <alignment horizontal="center"/>
    </xf>
    <xf numFmtId="0" fontId="0" fillId="0" borderId="0" xfId="0" applyAlignment="1">
      <alignment horizontal="center"/>
    </xf>
    <xf numFmtId="0" fontId="8" fillId="0" borderId="10"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1"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52" xfId="0" applyFont="1" applyBorder="1" applyAlignment="1">
      <alignment horizontal="center" vertical="center"/>
    </xf>
    <xf numFmtId="0" fontId="22" fillId="0" borderId="15" xfId="0" applyFont="1" applyBorder="1" applyAlignment="1">
      <alignment horizontal="center" vertical="center" wrapText="1"/>
    </xf>
    <xf numFmtId="0" fontId="13" fillId="0" borderId="0" xfId="0" applyFont="1" applyAlignment="1">
      <alignment horizontal="center" vertical="center" textRotation="90" wrapText="1"/>
    </xf>
    <xf numFmtId="0" fontId="20" fillId="0" borderId="0" xfId="0" applyFont="1" applyAlignment="1">
      <alignment horizontal="center"/>
    </xf>
    <xf numFmtId="0" fontId="20" fillId="0" borderId="0" xfId="0" applyFont="1" applyAlignment="1">
      <alignment horizontal="center" vertical="center"/>
    </xf>
    <xf numFmtId="0" fontId="4" fillId="0" borderId="0" xfId="0" applyFont="1" applyAlignment="1">
      <alignment horizontal="center"/>
    </xf>
    <xf numFmtId="0" fontId="4" fillId="0" borderId="23" xfId="0" applyFont="1" applyBorder="1" applyAlignment="1">
      <alignment horizontal="center" vertical="center"/>
    </xf>
    <xf numFmtId="0" fontId="4" fillId="0" borderId="52" xfId="0" applyFont="1" applyBorder="1" applyAlignment="1">
      <alignment horizontal="center" vertical="center"/>
    </xf>
    <xf numFmtId="0" fontId="6" fillId="0" borderId="0" xfId="0" applyFont="1" applyAlignment="1">
      <alignment horizontal="center" vertical="center" textRotation="90" wrapText="1"/>
    </xf>
    <xf numFmtId="0" fontId="4" fillId="0" borderId="0" xfId="0" applyFont="1" applyAlignment="1">
      <alignment horizontal="left" vertical="center" wrapText="1"/>
    </xf>
    <xf numFmtId="0" fontId="4" fillId="0" borderId="0" xfId="0" applyFont="1" applyAlignment="1">
      <alignment horizontal="left"/>
    </xf>
    <xf numFmtId="0" fontId="4" fillId="0" borderId="0" xfId="0" applyFont="1" applyAlignment="1">
      <alignment horizontal="right" vertical="center" wrapText="1"/>
    </xf>
    <xf numFmtId="175" fontId="22" fillId="0" borderId="10"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25" fillId="0" borderId="10" xfId="0" applyFont="1" applyBorder="1" applyAlignment="1">
      <alignment horizontal="center"/>
    </xf>
    <xf numFmtId="175" fontId="25"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54" fillId="0" borderId="0" xfId="0" applyFont="1" applyAlignment="1">
      <alignment horizontal="center"/>
    </xf>
    <xf numFmtId="0" fontId="6" fillId="0" borderId="12" xfId="0" applyFont="1" applyBorder="1" applyAlignment="1">
      <alignment horizontal="center" vertical="center" textRotation="90" wrapText="1"/>
    </xf>
    <xf numFmtId="0" fontId="6" fillId="0" borderId="0" xfId="0" applyFont="1" applyAlignment="1">
      <alignment horizontal="right" vertical="center" wrapText="1"/>
    </xf>
    <xf numFmtId="0" fontId="59" fillId="0" borderId="23" xfId="0" applyFont="1" applyBorder="1" applyAlignment="1">
      <alignment horizontal="center" vertical="center" wrapText="1"/>
    </xf>
    <xf numFmtId="0" fontId="59" fillId="0" borderId="52"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52" xfId="0" applyFont="1" applyBorder="1" applyAlignment="1">
      <alignment horizontal="center" vertical="center" wrapText="1"/>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52" xfId="0" applyFont="1" applyBorder="1" applyAlignment="1">
      <alignment horizontal="center" vertical="center"/>
    </xf>
    <xf numFmtId="0" fontId="67" fillId="0" borderId="10" xfId="57" applyFont="1" applyBorder="1" applyAlignment="1">
      <alignment horizontal="center" vertical="center" textRotation="90" wrapText="1"/>
      <protection/>
    </xf>
    <xf numFmtId="0" fontId="38" fillId="0" borderId="10" xfId="57" applyFont="1" applyBorder="1" applyAlignment="1">
      <alignment horizontal="center" vertical="center" wrapText="1"/>
      <protection/>
    </xf>
    <xf numFmtId="0" fontId="65" fillId="0" borderId="60" xfId="57" applyFont="1" applyBorder="1" applyAlignment="1">
      <alignment horizontal="center"/>
      <protection/>
    </xf>
    <xf numFmtId="0" fontId="65" fillId="0" borderId="61" xfId="57" applyFont="1" applyBorder="1" applyAlignment="1">
      <alignment horizontal="center"/>
      <protection/>
    </xf>
    <xf numFmtId="0" fontId="65" fillId="0" borderId="62" xfId="57" applyFont="1" applyBorder="1" applyAlignment="1">
      <alignment horizontal="center"/>
      <protection/>
    </xf>
    <xf numFmtId="0" fontId="20" fillId="0" borderId="45" xfId="57" applyFont="1" applyBorder="1" applyAlignment="1" quotePrefix="1">
      <alignment horizontal="center"/>
      <protection/>
    </xf>
    <xf numFmtId="0" fontId="20" fillId="0" borderId="0" xfId="57" applyFont="1" applyBorder="1" applyAlignment="1" quotePrefix="1">
      <alignment horizontal="center"/>
      <protection/>
    </xf>
    <xf numFmtId="0" fontId="20" fillId="0" borderId="46" xfId="57" applyFont="1" applyBorder="1" applyAlignment="1" quotePrefix="1">
      <alignment horizontal="center"/>
      <protection/>
    </xf>
    <xf numFmtId="0" fontId="3" fillId="0" borderId="45" xfId="57" applyFont="1" applyBorder="1" applyAlignment="1">
      <alignment horizontal="center"/>
      <protection/>
    </xf>
    <xf numFmtId="0" fontId="3" fillId="0" borderId="0" xfId="57" applyFont="1" applyBorder="1" applyAlignment="1">
      <alignment horizontal="center"/>
      <protection/>
    </xf>
    <xf numFmtId="0" fontId="3" fillId="0" borderId="46" xfId="57" applyFont="1" applyBorder="1" applyAlignment="1">
      <alignment horizontal="center"/>
      <protection/>
    </xf>
    <xf numFmtId="0" fontId="22" fillId="0" borderId="45" xfId="57" applyFont="1" applyBorder="1" applyAlignment="1">
      <alignment horizontal="center"/>
      <protection/>
    </xf>
    <xf numFmtId="0" fontId="22" fillId="0" borderId="0" xfId="57" applyFont="1" applyBorder="1" applyAlignment="1">
      <alignment horizontal="center"/>
      <protection/>
    </xf>
    <xf numFmtId="0" fontId="22" fillId="0" borderId="46" xfId="57" applyFont="1" applyBorder="1" applyAlignment="1">
      <alignment horizontal="center"/>
      <protection/>
    </xf>
    <xf numFmtId="0" fontId="1" fillId="0" borderId="63" xfId="57" applyBorder="1" applyAlignment="1">
      <alignment horizontal="center" vertical="center"/>
      <protection/>
    </xf>
    <xf numFmtId="0" fontId="1" fillId="0" borderId="64" xfId="57" applyBorder="1" applyAlignment="1">
      <alignment horizontal="center" vertical="center"/>
      <protection/>
    </xf>
    <xf numFmtId="0" fontId="1" fillId="0" borderId="65" xfId="57" applyBorder="1" applyAlignment="1">
      <alignment horizontal="center" vertical="center"/>
      <protection/>
    </xf>
    <xf numFmtId="0" fontId="7" fillId="0" borderId="11" xfId="57" applyFont="1" applyBorder="1" applyAlignment="1">
      <alignment horizontal="center" vertical="center" shrinkToFit="1"/>
      <protection/>
    </xf>
    <xf numFmtId="0" fontId="7" fillId="0" borderId="66" xfId="57" applyFont="1" applyBorder="1" applyAlignment="1">
      <alignment horizontal="center" vertical="center" shrinkToFit="1"/>
      <protection/>
    </xf>
    <xf numFmtId="0" fontId="7" fillId="0" borderId="50" xfId="57" applyFont="1" applyBorder="1" applyAlignment="1">
      <alignment horizontal="center" vertical="center" shrinkToFit="1"/>
      <protection/>
    </xf>
    <xf numFmtId="0" fontId="38" fillId="0" borderId="11" xfId="57" applyFont="1" applyBorder="1" applyAlignment="1">
      <alignment horizontal="center" vertical="center" textRotation="90" wrapText="1" shrinkToFit="1"/>
      <protection/>
    </xf>
    <xf numFmtId="0" fontId="38" fillId="0" borderId="66" xfId="57" applyFont="1" applyBorder="1" applyAlignment="1">
      <alignment horizontal="center" vertical="center" textRotation="90" wrapText="1" shrinkToFit="1"/>
      <protection/>
    </xf>
    <xf numFmtId="0" fontId="38" fillId="0" borderId="50" xfId="57" applyFont="1" applyBorder="1" applyAlignment="1">
      <alignment horizontal="center" vertical="center" textRotation="90" wrapText="1" shrinkToFit="1"/>
      <protection/>
    </xf>
    <xf numFmtId="0" fontId="6" fillId="0" borderId="11" xfId="57" applyFont="1" applyBorder="1" applyAlignment="1">
      <alignment horizontal="center" vertical="center" textRotation="90"/>
      <protection/>
    </xf>
    <xf numFmtId="0" fontId="6" fillId="0" borderId="66" xfId="57" applyFont="1" applyBorder="1" applyAlignment="1">
      <alignment horizontal="center" vertical="center" textRotation="90"/>
      <protection/>
    </xf>
    <xf numFmtId="0" fontId="6" fillId="0" borderId="50" xfId="57" applyFont="1" applyBorder="1" applyAlignment="1">
      <alignment horizontal="center" vertical="center" textRotation="90"/>
      <protection/>
    </xf>
    <xf numFmtId="0" fontId="1" fillId="0" borderId="0" xfId="57" applyBorder="1" applyAlignment="1">
      <alignment horizontal="center"/>
      <protection/>
    </xf>
    <xf numFmtId="0" fontId="1" fillId="0" borderId="46" xfId="57" applyBorder="1" applyAlignment="1">
      <alignment horizontal="center"/>
      <protection/>
    </xf>
    <xf numFmtId="0" fontId="66" fillId="0" borderId="45" xfId="57" applyFont="1" applyBorder="1" applyAlignment="1">
      <alignment horizontal="left" vertical="center" wrapText="1"/>
      <protection/>
    </xf>
    <xf numFmtId="0" fontId="66" fillId="0" borderId="0" xfId="57" applyFont="1" applyBorder="1" applyAlignment="1">
      <alignment horizontal="left" vertical="center" wrapText="1"/>
      <protection/>
    </xf>
    <xf numFmtId="0" fontId="66" fillId="0" borderId="46" xfId="57" applyFont="1" applyBorder="1" applyAlignment="1">
      <alignment horizontal="left" vertical="center" wrapText="1"/>
      <protection/>
    </xf>
    <xf numFmtId="0" fontId="1" fillId="0" borderId="43" xfId="57" applyBorder="1" applyAlignment="1">
      <alignment horizontal="center" vertical="center" wrapText="1"/>
      <protection/>
    </xf>
    <xf numFmtId="0" fontId="1" fillId="0" borderId="10" xfId="57" applyBorder="1" applyAlignment="1">
      <alignment horizontal="center" vertical="center" wrapText="1"/>
      <protection/>
    </xf>
    <xf numFmtId="0" fontId="68" fillId="0" borderId="23" xfId="57" applyFont="1" applyBorder="1" applyAlignment="1">
      <alignment horizontal="center" vertical="center" wrapText="1"/>
      <protection/>
    </xf>
    <xf numFmtId="0" fontId="68" fillId="0" borderId="52" xfId="57" applyFont="1" applyBorder="1" applyAlignment="1">
      <alignment horizontal="center" vertical="center" wrapText="1"/>
      <protection/>
    </xf>
    <xf numFmtId="0" fontId="1" fillId="0" borderId="44" xfId="57" applyBorder="1" applyAlignment="1">
      <alignment horizontal="center" vertical="center" wrapText="1"/>
      <protection/>
    </xf>
    <xf numFmtId="0" fontId="4" fillId="0" borderId="13" xfId="57" applyFont="1" applyBorder="1" applyAlignment="1">
      <alignment horizontal="left" vertical="top" wrapText="1"/>
      <protection/>
    </xf>
    <xf numFmtId="0" fontId="4" fillId="0" borderId="0" xfId="57" applyFont="1" applyBorder="1" applyAlignment="1">
      <alignment horizontal="left" vertical="top" wrapText="1"/>
      <protection/>
    </xf>
    <xf numFmtId="0" fontId="4" fillId="0" borderId="12" xfId="57" applyFont="1" applyBorder="1" applyAlignment="1">
      <alignment horizontal="left" vertical="top" wrapText="1"/>
      <protection/>
    </xf>
    <xf numFmtId="0" fontId="4" fillId="0" borderId="40" xfId="57" applyFont="1" applyBorder="1" applyAlignment="1">
      <alignment horizontal="left" vertical="center" wrapText="1"/>
      <protection/>
    </xf>
    <xf numFmtId="0" fontId="4" fillId="0" borderId="51" xfId="57" applyFont="1" applyBorder="1" applyAlignment="1">
      <alignment horizontal="left" vertical="center" wrapText="1"/>
      <protection/>
    </xf>
    <xf numFmtId="0" fontId="65" fillId="0" borderId="13" xfId="57" applyFont="1" applyBorder="1" applyAlignment="1">
      <alignment horizontal="center"/>
      <protection/>
    </xf>
    <xf numFmtId="0" fontId="65" fillId="0" borderId="0" xfId="57" applyFont="1" applyBorder="1" applyAlignment="1">
      <alignment horizontal="center"/>
      <protection/>
    </xf>
    <xf numFmtId="0" fontId="65" fillId="0" borderId="12" xfId="57" applyFont="1" applyBorder="1" applyAlignment="1">
      <alignment horizontal="center"/>
      <protection/>
    </xf>
    <xf numFmtId="0" fontId="4" fillId="0" borderId="13" xfId="57" applyFont="1" applyBorder="1" applyAlignment="1" quotePrefix="1">
      <alignment horizontal="center"/>
      <protection/>
    </xf>
    <xf numFmtId="0" fontId="4" fillId="0" borderId="0" xfId="57" applyFont="1" applyBorder="1" applyAlignment="1" quotePrefix="1">
      <alignment horizontal="center"/>
      <protection/>
    </xf>
    <xf numFmtId="0" fontId="4" fillId="0" borderId="12" xfId="57" applyFont="1" applyBorder="1" applyAlignment="1" quotePrefix="1">
      <alignment horizontal="center"/>
      <protection/>
    </xf>
    <xf numFmtId="0" fontId="69" fillId="0" borderId="13" xfId="57" applyFont="1" applyBorder="1" applyAlignment="1">
      <alignment horizontal="left" vertical="center" wrapText="1" indent="4"/>
      <protection/>
    </xf>
    <xf numFmtId="0" fontId="69" fillId="0" borderId="0" xfId="57" applyFont="1" applyBorder="1" applyAlignment="1">
      <alignment horizontal="left" vertical="center" wrapText="1" indent="4"/>
      <protection/>
    </xf>
    <xf numFmtId="0" fontId="69" fillId="0" borderId="12" xfId="57" applyFont="1" applyBorder="1" applyAlignment="1">
      <alignment horizontal="left" vertical="center" wrapText="1" indent="4"/>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Style 1"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6</xdr:row>
      <xdr:rowOff>0</xdr:rowOff>
    </xdr:from>
    <xdr:to>
      <xdr:col>23</xdr:col>
      <xdr:colOff>85725</xdr:colOff>
      <xdr:row>13</xdr:row>
      <xdr:rowOff>180975</xdr:rowOff>
    </xdr:to>
    <xdr:sp>
      <xdr:nvSpPr>
        <xdr:cNvPr id="1" name="Rectangle 2"/>
        <xdr:cNvSpPr>
          <a:spLocks/>
        </xdr:cNvSpPr>
      </xdr:nvSpPr>
      <xdr:spPr>
        <a:xfrm>
          <a:off x="5372100" y="1409700"/>
          <a:ext cx="2514600" cy="1581150"/>
        </a:xfrm>
        <a:prstGeom prst="rect">
          <a:avLst/>
        </a:prstGeom>
        <a:no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                              </a:t>
          </a:r>
        </a:p>
      </xdr:txBody>
    </xdr:sp>
    <xdr:clientData/>
  </xdr:twoCellAnchor>
  <xdr:twoCellAnchor>
    <xdr:from>
      <xdr:col>17</xdr:col>
      <xdr:colOff>295275</xdr:colOff>
      <xdr:row>10</xdr:row>
      <xdr:rowOff>38100</xdr:rowOff>
    </xdr:from>
    <xdr:to>
      <xdr:col>22</xdr:col>
      <xdr:colOff>152400</xdr:colOff>
      <xdr:row>12</xdr:row>
      <xdr:rowOff>123825</xdr:rowOff>
    </xdr:to>
    <xdr:sp>
      <xdr:nvSpPr>
        <xdr:cNvPr id="2" name="Rectangle 3"/>
        <xdr:cNvSpPr>
          <a:spLocks/>
        </xdr:cNvSpPr>
      </xdr:nvSpPr>
      <xdr:spPr>
        <a:xfrm>
          <a:off x="6391275" y="2247900"/>
          <a:ext cx="1333500" cy="485775"/>
        </a:xfrm>
        <a:prstGeom prst="rect">
          <a:avLst/>
        </a:prstGeom>
        <a:no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66675</xdr:colOff>
      <xdr:row>68</xdr:row>
      <xdr:rowOff>142875</xdr:rowOff>
    </xdr:from>
    <xdr:to>
      <xdr:col>4</xdr:col>
      <xdr:colOff>219075</xdr:colOff>
      <xdr:row>73</xdr:row>
      <xdr:rowOff>95250</xdr:rowOff>
    </xdr:to>
    <xdr:sp>
      <xdr:nvSpPr>
        <xdr:cNvPr id="3" name="Oval 4"/>
        <xdr:cNvSpPr>
          <a:spLocks/>
        </xdr:cNvSpPr>
      </xdr:nvSpPr>
      <xdr:spPr>
        <a:xfrm>
          <a:off x="809625" y="14020800"/>
          <a:ext cx="914400" cy="895350"/>
        </a:xfrm>
        <a:prstGeom prst="ellipse">
          <a:avLst/>
        </a:prstGeom>
        <a:no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33</xdr:row>
      <xdr:rowOff>95250</xdr:rowOff>
    </xdr:from>
    <xdr:to>
      <xdr:col>1</xdr:col>
      <xdr:colOff>142875</xdr:colOff>
      <xdr:row>37</xdr:row>
      <xdr:rowOff>9525</xdr:rowOff>
    </xdr:to>
    <xdr:sp>
      <xdr:nvSpPr>
        <xdr:cNvPr id="1" name="Oval 4"/>
        <xdr:cNvSpPr>
          <a:spLocks/>
        </xdr:cNvSpPr>
      </xdr:nvSpPr>
      <xdr:spPr>
        <a:xfrm>
          <a:off x="285750" y="6448425"/>
          <a:ext cx="590550" cy="561975"/>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DDO Seal
</a:t>
          </a:r>
          <a:r>
            <a:rPr lang="en-US" cap="none" sz="1000" b="0" i="0" u="none" baseline="0">
              <a:solidFill>
                <a:srgbClr val="000000"/>
              </a:solidFill>
            </a:rPr>
            <a:t>
</a:t>
          </a:r>
        </a:p>
      </xdr:txBody>
    </xdr:sp>
    <xdr:clientData/>
  </xdr:twoCellAnchor>
  <xdr:twoCellAnchor>
    <xdr:from>
      <xdr:col>9</xdr:col>
      <xdr:colOff>333375</xdr:colOff>
      <xdr:row>34</xdr:row>
      <xdr:rowOff>47625</xdr:rowOff>
    </xdr:from>
    <xdr:to>
      <xdr:col>11</xdr:col>
      <xdr:colOff>257175</xdr:colOff>
      <xdr:row>37</xdr:row>
      <xdr:rowOff>142875</xdr:rowOff>
    </xdr:to>
    <xdr:sp>
      <xdr:nvSpPr>
        <xdr:cNvPr id="2" name="Oval 5"/>
        <xdr:cNvSpPr>
          <a:spLocks/>
        </xdr:cNvSpPr>
      </xdr:nvSpPr>
      <xdr:spPr>
        <a:xfrm>
          <a:off x="3962400" y="6562725"/>
          <a:ext cx="781050" cy="581025"/>
        </a:xfrm>
        <a:prstGeom prst="ellipse">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rPr>
            <a:t>Treasury </a:t>
          </a:r>
          <a:r>
            <a:rPr lang="en-US" cap="none" sz="1000" b="0" i="0" u="none" baseline="0">
              <a:solidFill>
                <a:srgbClr val="000000"/>
              </a:solidFill>
            </a:rPr>
            <a:t>Seal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6(g)(i)%20promo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PTION FORM (1)"/>
      <sheetName val="OPTION FORM (2)"/>
      <sheetName val="APPENDIX-1(1)"/>
      <sheetName val="APPENDIX-1 (2)"/>
      <sheetName val="APPENDIX-II"/>
      <sheetName val="BILL"/>
      <sheetName val="FORM 47"/>
      <sheetName val="47-OUTERBACK"/>
      <sheetName val="FORM-101"/>
      <sheetName val="PAPER TOKEN"/>
      <sheetName val="PROCEEDINGS"/>
      <sheetName val="P. TAX"/>
      <sheetName val="GPFZPPF"/>
      <sheetName val="ANX-1"/>
      <sheetName val="ANX-2"/>
      <sheetName val="ANX-3"/>
      <sheetName val="FORM 49"/>
      <sheetName val="FORM 49 BACK"/>
    </sheetNames>
    <sheetDataSet>
      <sheetData sheetId="0">
        <row r="36">
          <cell r="E36" t="str">
            <v> ZPPF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123"/>
  <sheetViews>
    <sheetView tabSelected="1" zoomScalePageLayoutView="0" workbookViewId="0" topLeftCell="A44">
      <selection activeCell="C7" sqref="C7:H11"/>
    </sheetView>
  </sheetViews>
  <sheetFormatPr defaultColWidth="9.140625" defaultRowHeight="15"/>
  <cols>
    <col min="1" max="1" width="37.8515625" style="0" customWidth="1"/>
    <col min="2" max="2" width="10.421875" style="0" bestFit="1" customWidth="1"/>
    <col min="4" max="4" width="9.8515625" style="0" bestFit="1" customWidth="1"/>
    <col min="9" max="10" width="0" style="0" hidden="1" customWidth="1"/>
    <col min="11" max="11" width="10.421875" style="0" hidden="1" customWidth="1"/>
    <col min="12" max="12" width="9.8515625" style="0" hidden="1" customWidth="1"/>
    <col min="13" max="15" width="0" style="0" hidden="1" customWidth="1"/>
    <col min="16" max="16" width="10.421875" style="0" hidden="1" customWidth="1"/>
    <col min="17" max="33" width="0" style="0" hidden="1" customWidth="1"/>
  </cols>
  <sheetData>
    <row r="1" spans="1:8" ht="15">
      <c r="A1" s="348" t="s">
        <v>0</v>
      </c>
      <c r="B1" s="348"/>
      <c r="C1" s="348"/>
      <c r="D1" s="348"/>
      <c r="E1" s="348"/>
      <c r="F1" s="348"/>
      <c r="G1" s="348"/>
      <c r="H1" s="348"/>
    </row>
    <row r="2" spans="1:8" ht="15">
      <c r="A2" s="281" t="s">
        <v>1</v>
      </c>
      <c r="B2" s="347" t="s">
        <v>390</v>
      </c>
      <c r="C2" s="347"/>
      <c r="D2" s="347"/>
      <c r="E2" s="347"/>
      <c r="F2" s="279"/>
      <c r="G2" s="279"/>
      <c r="H2" s="279"/>
    </row>
    <row r="3" spans="1:8" ht="15">
      <c r="A3" s="281" t="s">
        <v>2</v>
      </c>
      <c r="B3" s="347" t="s">
        <v>77</v>
      </c>
      <c r="C3" s="347"/>
      <c r="D3" s="347"/>
      <c r="E3" s="347"/>
      <c r="F3" s="279"/>
      <c r="G3" s="279"/>
      <c r="H3" s="279"/>
    </row>
    <row r="4" spans="1:17" ht="15">
      <c r="A4" s="281" t="s">
        <v>59</v>
      </c>
      <c r="B4" s="347" t="s">
        <v>391</v>
      </c>
      <c r="C4" s="347"/>
      <c r="D4" s="347"/>
      <c r="E4" s="347"/>
      <c r="F4" s="286"/>
      <c r="G4" s="286"/>
      <c r="H4" s="286"/>
      <c r="Q4" t="s">
        <v>63</v>
      </c>
    </row>
    <row r="5" spans="1:17" ht="15">
      <c r="A5" s="281" t="s">
        <v>62</v>
      </c>
      <c r="B5" s="347" t="s">
        <v>63</v>
      </c>
      <c r="C5" s="347"/>
      <c r="D5" s="347"/>
      <c r="E5" s="347"/>
      <c r="F5" s="286"/>
      <c r="G5" s="286"/>
      <c r="H5" s="286"/>
      <c r="N5">
        <v>1</v>
      </c>
      <c r="Q5" t="s">
        <v>64</v>
      </c>
    </row>
    <row r="6" spans="1:14" ht="15">
      <c r="A6" s="281" t="s">
        <v>3</v>
      </c>
      <c r="B6" s="352" t="s">
        <v>372</v>
      </c>
      <c r="C6" s="347"/>
      <c r="D6" s="347"/>
      <c r="E6" s="347"/>
      <c r="F6" s="286"/>
      <c r="G6" s="286"/>
      <c r="H6" s="286"/>
      <c r="N6">
        <v>2</v>
      </c>
    </row>
    <row r="7" spans="1:14" ht="22.5" customHeight="1">
      <c r="A7" s="281" t="s">
        <v>123</v>
      </c>
      <c r="B7" s="280">
        <v>10</v>
      </c>
      <c r="C7" s="350" t="s">
        <v>381</v>
      </c>
      <c r="D7" s="351"/>
      <c r="E7" s="351"/>
      <c r="F7" s="351"/>
      <c r="G7" s="351"/>
      <c r="H7" s="351"/>
      <c r="N7">
        <v>3</v>
      </c>
    </row>
    <row r="8" spans="1:8" ht="30">
      <c r="A8" s="282" t="s">
        <v>126</v>
      </c>
      <c r="B8" s="280">
        <v>2</v>
      </c>
      <c r="C8" s="350"/>
      <c r="D8" s="351"/>
      <c r="E8" s="351"/>
      <c r="F8" s="351"/>
      <c r="G8" s="351"/>
      <c r="H8" s="351"/>
    </row>
    <row r="9" spans="1:16" ht="15">
      <c r="A9" s="281" t="s">
        <v>4</v>
      </c>
      <c r="B9" s="287">
        <v>16139</v>
      </c>
      <c r="C9" s="350"/>
      <c r="D9" s="351"/>
      <c r="E9" s="351"/>
      <c r="F9" s="351"/>
      <c r="G9" s="351"/>
      <c r="H9" s="351"/>
      <c r="O9">
        <v>10</v>
      </c>
      <c r="P9">
        <v>12</v>
      </c>
    </row>
    <row r="10" spans="1:16" ht="15">
      <c r="A10" s="281" t="s">
        <v>5</v>
      </c>
      <c r="B10" s="287" t="s">
        <v>373</v>
      </c>
      <c r="C10" s="350"/>
      <c r="D10" s="351"/>
      <c r="E10" s="351"/>
      <c r="F10" s="351"/>
      <c r="G10" s="351"/>
      <c r="H10" s="351"/>
      <c r="O10">
        <v>12.5</v>
      </c>
      <c r="P10">
        <v>14.5</v>
      </c>
    </row>
    <row r="11" spans="1:16" ht="15">
      <c r="A11" s="281" t="s">
        <v>7</v>
      </c>
      <c r="B11" s="288">
        <v>750</v>
      </c>
      <c r="C11" s="350"/>
      <c r="D11" s="351"/>
      <c r="E11" s="351"/>
      <c r="F11" s="351"/>
      <c r="G11" s="351"/>
      <c r="H11" s="351"/>
      <c r="O11">
        <v>20</v>
      </c>
      <c r="P11">
        <v>22</v>
      </c>
    </row>
    <row r="12" spans="1:16" ht="15">
      <c r="A12" s="281" t="s">
        <v>6</v>
      </c>
      <c r="B12" s="349">
        <v>109573213563</v>
      </c>
      <c r="C12" s="349"/>
      <c r="D12" s="349"/>
      <c r="E12" s="349"/>
      <c r="F12" s="286"/>
      <c r="G12" s="286"/>
      <c r="H12" s="286"/>
      <c r="O12">
        <v>30</v>
      </c>
      <c r="P12">
        <v>30</v>
      </c>
    </row>
    <row r="13" spans="1:8" ht="15">
      <c r="A13" s="281" t="s">
        <v>8</v>
      </c>
      <c r="B13" s="347" t="s">
        <v>392</v>
      </c>
      <c r="C13" s="347"/>
      <c r="D13" s="347"/>
      <c r="E13" s="347"/>
      <c r="F13" s="286"/>
      <c r="G13" s="286"/>
      <c r="H13" s="286"/>
    </row>
    <row r="14" spans="1:8" ht="15">
      <c r="A14" s="281" t="s">
        <v>9</v>
      </c>
      <c r="B14" s="347" t="s">
        <v>392</v>
      </c>
      <c r="C14" s="347"/>
      <c r="D14" s="347"/>
      <c r="E14" s="347"/>
      <c r="F14" s="286"/>
      <c r="G14" s="286"/>
      <c r="H14" s="286"/>
    </row>
    <row r="15" spans="1:8" ht="15">
      <c r="A15" s="281" t="s">
        <v>10</v>
      </c>
      <c r="B15" s="347" t="s">
        <v>99</v>
      </c>
      <c r="C15" s="347"/>
      <c r="D15" s="347"/>
      <c r="E15" s="347"/>
      <c r="F15" s="286"/>
      <c r="G15" s="286"/>
      <c r="H15" s="286"/>
    </row>
    <row r="16" spans="1:8" ht="15">
      <c r="A16" s="281" t="s">
        <v>11</v>
      </c>
      <c r="B16" s="289">
        <v>0</v>
      </c>
      <c r="C16" s="289">
        <v>7</v>
      </c>
      <c r="D16" s="289">
        <v>0</v>
      </c>
      <c r="E16" s="289">
        <v>1</v>
      </c>
      <c r="F16" s="286"/>
      <c r="G16" s="286"/>
      <c r="H16" s="286"/>
    </row>
    <row r="17" spans="1:8" ht="15">
      <c r="A17" s="281" t="s">
        <v>15</v>
      </c>
      <c r="B17" s="347" t="s">
        <v>392</v>
      </c>
      <c r="C17" s="347"/>
      <c r="D17" s="347"/>
      <c r="E17" s="347"/>
      <c r="F17" s="286"/>
      <c r="G17" s="286"/>
      <c r="H17" s="286"/>
    </row>
    <row r="18" spans="1:8" ht="15">
      <c r="A18" s="281" t="s">
        <v>16</v>
      </c>
      <c r="B18" s="289">
        <v>0</v>
      </c>
      <c r="C18" s="289">
        <v>8</v>
      </c>
      <c r="D18" s="289">
        <v>9</v>
      </c>
      <c r="E18" s="289">
        <v>0</v>
      </c>
      <c r="F18" s="286"/>
      <c r="G18" s="286"/>
      <c r="H18" s="286"/>
    </row>
    <row r="19" spans="1:8" ht="15">
      <c r="A19" s="281" t="s">
        <v>12</v>
      </c>
      <c r="B19" s="289">
        <v>0</v>
      </c>
      <c r="C19" s="289">
        <v>3</v>
      </c>
      <c r="D19" s="289">
        <v>0</v>
      </c>
      <c r="E19" s="289">
        <v>8</v>
      </c>
      <c r="F19" s="289">
        <v>0</v>
      </c>
      <c r="G19" s="289">
        <v>6</v>
      </c>
      <c r="H19" s="289">
        <v>3</v>
      </c>
    </row>
    <row r="20" spans="1:8" ht="15">
      <c r="A20" s="281" t="s">
        <v>13</v>
      </c>
      <c r="B20" s="347" t="s">
        <v>393</v>
      </c>
      <c r="C20" s="347"/>
      <c r="D20" s="347"/>
      <c r="E20" s="347"/>
      <c r="F20" s="286"/>
      <c r="G20" s="286"/>
      <c r="H20" s="286"/>
    </row>
    <row r="21" spans="1:16" ht="15">
      <c r="A21" s="281" t="s">
        <v>14</v>
      </c>
      <c r="B21" s="347" t="s">
        <v>394</v>
      </c>
      <c r="C21" s="347"/>
      <c r="D21" s="347"/>
      <c r="E21" s="347"/>
      <c r="F21" s="286"/>
      <c r="G21" s="286"/>
      <c r="H21" s="286"/>
      <c r="P21">
        <v>6</v>
      </c>
    </row>
    <row r="22" spans="1:16" ht="15">
      <c r="A22" s="281" t="s">
        <v>374</v>
      </c>
      <c r="B22" s="289">
        <v>2</v>
      </c>
      <c r="C22" s="289">
        <v>2</v>
      </c>
      <c r="D22" s="289">
        <v>0</v>
      </c>
      <c r="E22" s="289">
        <v>2</v>
      </c>
      <c r="F22" s="286"/>
      <c r="G22" s="286"/>
      <c r="H22" s="286"/>
      <c r="P22">
        <v>12</v>
      </c>
    </row>
    <row r="23" spans="1:8" ht="15">
      <c r="A23" s="281" t="s">
        <v>375</v>
      </c>
      <c r="B23" s="289">
        <v>0</v>
      </c>
      <c r="C23" s="289">
        <v>1</v>
      </c>
      <c r="D23" s="286"/>
      <c r="E23" s="286"/>
      <c r="F23" s="286"/>
      <c r="G23" s="286"/>
      <c r="H23" s="286"/>
    </row>
    <row r="24" spans="1:8" ht="15">
      <c r="A24" s="281" t="s">
        <v>376</v>
      </c>
      <c r="B24" s="289">
        <v>1</v>
      </c>
      <c r="C24" s="289">
        <v>0</v>
      </c>
      <c r="D24" s="289">
        <v>3</v>
      </c>
      <c r="E24" s="286"/>
      <c r="F24" s="286"/>
      <c r="G24" s="286"/>
      <c r="H24" s="286"/>
    </row>
    <row r="25" spans="1:8" ht="15">
      <c r="A25" s="281" t="s">
        <v>377</v>
      </c>
      <c r="B25" s="289">
        <v>0</v>
      </c>
      <c r="C25" s="289">
        <v>4</v>
      </c>
      <c r="D25" s="286"/>
      <c r="E25" s="286"/>
      <c r="F25" s="286"/>
      <c r="G25" s="286"/>
      <c r="H25" s="286"/>
    </row>
    <row r="26" spans="1:8" ht="15">
      <c r="A26" s="281" t="s">
        <v>378</v>
      </c>
      <c r="B26" s="289">
        <v>0</v>
      </c>
      <c r="C26" s="289">
        <v>1</v>
      </c>
      <c r="D26" s="289">
        <v>0</v>
      </c>
      <c r="E26" s="286"/>
      <c r="F26" s="286"/>
      <c r="G26" s="286"/>
      <c r="H26" s="286"/>
    </row>
    <row r="27" spans="1:16" ht="15">
      <c r="A27" s="281" t="s">
        <v>17</v>
      </c>
      <c r="B27" s="347" t="s">
        <v>395</v>
      </c>
      <c r="C27" s="347"/>
      <c r="D27" s="347"/>
      <c r="E27" s="347"/>
      <c r="F27" s="286"/>
      <c r="G27" s="286"/>
      <c r="H27" s="286"/>
      <c r="P27">
        <v>18</v>
      </c>
    </row>
    <row r="28" spans="1:16" ht="15">
      <c r="A28" s="281" t="s">
        <v>18</v>
      </c>
      <c r="B28" s="347" t="s">
        <v>77</v>
      </c>
      <c r="C28" s="347"/>
      <c r="D28" s="347"/>
      <c r="E28" s="347"/>
      <c r="F28" s="286"/>
      <c r="G28" s="286"/>
      <c r="H28" s="286"/>
      <c r="P28">
        <v>24</v>
      </c>
    </row>
    <row r="29" spans="1:8" ht="15">
      <c r="A29" s="281" t="s">
        <v>60</v>
      </c>
      <c r="B29" s="285" t="s">
        <v>128</v>
      </c>
      <c r="C29" s="286"/>
      <c r="D29" s="286"/>
      <c r="E29" s="286"/>
      <c r="F29" s="286"/>
      <c r="G29" s="286"/>
      <c r="H29" s="286"/>
    </row>
    <row r="30" spans="1:11" ht="15">
      <c r="A30" s="281" t="s">
        <v>61</v>
      </c>
      <c r="B30" s="290">
        <v>40706</v>
      </c>
      <c r="C30" s="286"/>
      <c r="D30" s="286"/>
      <c r="E30" s="286"/>
      <c r="F30" s="286"/>
      <c r="G30" s="286"/>
      <c r="H30" s="286"/>
      <c r="I30">
        <f>DAY(B30)</f>
        <v>12</v>
      </c>
      <c r="J30">
        <f>MONTH(B30)</f>
        <v>6</v>
      </c>
      <c r="K30">
        <f>YEAR(B30)</f>
        <v>2011</v>
      </c>
    </row>
    <row r="31" spans="1:8" ht="60">
      <c r="A31" s="283" t="s">
        <v>22</v>
      </c>
      <c r="B31" s="291">
        <v>18</v>
      </c>
      <c r="C31" s="286"/>
      <c r="D31" s="286"/>
      <c r="E31" s="286"/>
      <c r="F31" s="286"/>
      <c r="G31" s="286"/>
      <c r="H31" s="286"/>
    </row>
    <row r="32" spans="1:8" ht="26.25" hidden="1">
      <c r="A32" s="283"/>
      <c r="B32" s="291"/>
      <c r="C32" s="286"/>
      <c r="D32" s="286"/>
      <c r="E32" s="286"/>
      <c r="F32" s="286"/>
      <c r="G32" s="286"/>
      <c r="H32" s="286"/>
    </row>
    <row r="33" spans="1:8" ht="26.25" hidden="1">
      <c r="A33" s="283"/>
      <c r="B33" s="291"/>
      <c r="C33" s="286"/>
      <c r="D33" s="286"/>
      <c r="E33" s="286"/>
      <c r="F33" s="286"/>
      <c r="G33" s="286"/>
      <c r="H33" s="286"/>
    </row>
    <row r="34" spans="1:8" ht="26.25" hidden="1">
      <c r="A34" s="283"/>
      <c r="B34" s="291"/>
      <c r="C34" s="286"/>
      <c r="D34" s="286"/>
      <c r="E34" s="286"/>
      <c r="F34" s="286"/>
      <c r="G34" s="286"/>
      <c r="H34" s="286"/>
    </row>
    <row r="35" spans="1:8" ht="26.25" hidden="1">
      <c r="A35" s="283"/>
      <c r="B35" s="291"/>
      <c r="C35" s="286"/>
      <c r="D35" s="286"/>
      <c r="E35" s="286"/>
      <c r="F35" s="286"/>
      <c r="G35" s="286"/>
      <c r="H35" s="286"/>
    </row>
    <row r="36" spans="1:15" ht="15">
      <c r="A36" s="281" t="s">
        <v>19</v>
      </c>
      <c r="B36" s="290">
        <v>32731</v>
      </c>
      <c r="C36" s="286"/>
      <c r="D36" s="286"/>
      <c r="E36" s="286"/>
      <c r="F36" s="286"/>
      <c r="G36" s="286"/>
      <c r="H36" s="286"/>
      <c r="O36">
        <v>0</v>
      </c>
    </row>
    <row r="37" spans="1:15" ht="15">
      <c r="A37" s="281" t="s">
        <v>21</v>
      </c>
      <c r="B37" s="285">
        <v>0</v>
      </c>
      <c r="C37" s="286"/>
      <c r="D37" s="286"/>
      <c r="E37" s="286"/>
      <c r="F37" s="286"/>
      <c r="G37" s="286"/>
      <c r="H37" s="286"/>
      <c r="O37">
        <v>1</v>
      </c>
    </row>
    <row r="38" spans="1:8" ht="15" hidden="1">
      <c r="A38" s="281" t="s">
        <v>20</v>
      </c>
      <c r="B38" s="290">
        <f>DATE(YEAR(B36)+6,MONTH(B36)+0,(DAY(B36)+B37)-1)</f>
        <v>34921</v>
      </c>
      <c r="C38" s="286"/>
      <c r="D38" s="286"/>
      <c r="E38" s="286"/>
      <c r="F38" s="286"/>
      <c r="G38" s="286"/>
      <c r="H38" s="286"/>
    </row>
    <row r="39" spans="1:8" ht="15" hidden="1">
      <c r="A39" s="281"/>
      <c r="B39" s="290">
        <f>DATE(YEAR(B36)+12,MONTH(B36)+0,(DAY(B36)+B37)-1)</f>
        <v>37113</v>
      </c>
      <c r="C39" s="286"/>
      <c r="D39" s="286"/>
      <c r="E39" s="286"/>
      <c r="F39" s="286"/>
      <c r="G39" s="286"/>
      <c r="H39" s="286"/>
    </row>
    <row r="40" spans="1:12" ht="15" hidden="1">
      <c r="A40" s="281"/>
      <c r="B40" s="290">
        <f>DATE(YEAR(B36)+18,MONTH(B36)+0,(DAY(B36)+B37)-1)</f>
        <v>39304</v>
      </c>
      <c r="C40" s="286"/>
      <c r="D40" s="286"/>
      <c r="E40" s="286"/>
      <c r="F40" s="286"/>
      <c r="G40" s="286"/>
      <c r="H40" s="286"/>
      <c r="L40" s="1"/>
    </row>
    <row r="41" spans="1:8" ht="15" hidden="1">
      <c r="A41" s="281"/>
      <c r="B41" s="290">
        <f>DATE(YEAR(B36)+24,MONTH(B36)+0,(DAY(B36)+B37)-1)</f>
        <v>41496</v>
      </c>
      <c r="C41" s="286"/>
      <c r="D41" s="286"/>
      <c r="E41" s="286"/>
      <c r="F41" s="286"/>
      <c r="G41" s="286"/>
      <c r="H41" s="286"/>
    </row>
    <row r="42" spans="1:38" ht="30">
      <c r="A42" s="283" t="str">
        <f>CONCATENATE("DATE OF COMPLETION OF "&amp;B31&amp;" YEARS OF SERVICE")</f>
        <v>DATE OF COMPLETION OF 18 YEARS OF SERVICE</v>
      </c>
      <c r="B42" s="290">
        <f>IF(B31=6,B38,IF(B31=12,B39,IF(B31=18,B40,IF(B31=24,B41))))</f>
        <v>39304</v>
      </c>
      <c r="C42" s="286"/>
      <c r="D42" s="286"/>
      <c r="E42" s="286"/>
      <c r="F42" s="286"/>
      <c r="G42" s="286"/>
      <c r="H42" s="286"/>
      <c r="I42">
        <f>DAY(B42)</f>
        <v>10</v>
      </c>
      <c r="J42">
        <f>MONTH(B42)</f>
        <v>8</v>
      </c>
      <c r="K42">
        <f>YEAR(B42)</f>
        <v>2007</v>
      </c>
      <c r="AJ42">
        <f>DAY(B42)</f>
        <v>10</v>
      </c>
      <c r="AK42">
        <f>MONTH(B42)</f>
        <v>8</v>
      </c>
      <c r="AL42">
        <f>YEAR(B42)</f>
        <v>2007</v>
      </c>
    </row>
    <row r="43" spans="1:11" ht="30.75" customHeight="1">
      <c r="A43" s="283" t="s">
        <v>116</v>
      </c>
      <c r="B43" s="292">
        <v>0</v>
      </c>
      <c r="C43" s="286"/>
      <c r="D43" s="286"/>
      <c r="E43" s="286"/>
      <c r="F43" s="286"/>
      <c r="G43" s="286"/>
      <c r="H43" s="286"/>
      <c r="K43" s="1"/>
    </row>
    <row r="44" spans="1:16" ht="15">
      <c r="A44" s="281" t="s">
        <v>23</v>
      </c>
      <c r="B44" s="293">
        <v>18520</v>
      </c>
      <c r="C44" s="286"/>
      <c r="D44" s="286"/>
      <c r="E44" s="286"/>
      <c r="F44" s="286"/>
      <c r="G44" s="286"/>
      <c r="H44" s="286"/>
      <c r="P44" s="1">
        <v>40210</v>
      </c>
    </row>
    <row r="45" spans="1:16" s="6" customFormat="1" ht="62.25" customHeight="1">
      <c r="A45" s="284" t="s">
        <v>24</v>
      </c>
      <c r="B45" s="357" t="s">
        <v>43</v>
      </c>
      <c r="C45" s="357"/>
      <c r="D45" s="357"/>
      <c r="E45" s="357"/>
      <c r="F45" s="286"/>
      <c r="G45" s="286"/>
      <c r="H45" s="286"/>
      <c r="P45" s="7">
        <f>B42+1</f>
        <v>39305</v>
      </c>
    </row>
    <row r="46" spans="1:8" ht="30">
      <c r="A46" s="283" t="s">
        <v>25</v>
      </c>
      <c r="B46" s="294">
        <v>19050</v>
      </c>
      <c r="C46" s="286"/>
      <c r="D46" s="286"/>
      <c r="E46" s="286"/>
      <c r="F46" s="286"/>
      <c r="G46" s="286"/>
      <c r="H46" s="286"/>
    </row>
    <row r="47" spans="1:18" ht="15">
      <c r="A47" s="281" t="str">
        <f>CONCATENATE("SCALE OF PAY IN "&amp;B31&amp;" YEARS SCALE W.E.F.")</f>
        <v>SCALE OF PAY IN 18 YEARS SCALE W.E.F.</v>
      </c>
      <c r="B47" s="302" t="str">
        <f>IF(B43=0,"1-2-2010",B39+1)</f>
        <v>1-2-2010</v>
      </c>
      <c r="C47" s="286"/>
      <c r="D47" s="286"/>
      <c r="E47" s="286"/>
      <c r="F47" s="286"/>
      <c r="G47" s="286"/>
      <c r="H47" s="286"/>
      <c r="O47">
        <v>2010</v>
      </c>
      <c r="P47">
        <v>1</v>
      </c>
      <c r="Q47">
        <v>6700</v>
      </c>
      <c r="R47" t="s">
        <v>27</v>
      </c>
    </row>
    <row r="48" spans="1:18" ht="66" customHeight="1">
      <c r="A48" s="282" t="s">
        <v>26</v>
      </c>
      <c r="B48" s="357" t="s">
        <v>44</v>
      </c>
      <c r="C48" s="357"/>
      <c r="D48" s="357"/>
      <c r="E48" s="357"/>
      <c r="F48" s="286"/>
      <c r="G48" s="286"/>
      <c r="H48" s="286"/>
      <c r="R48" t="s">
        <v>28</v>
      </c>
    </row>
    <row r="49" spans="1:18" ht="18" customHeight="1">
      <c r="A49" s="281" t="s">
        <v>119</v>
      </c>
      <c r="B49" s="294">
        <v>1</v>
      </c>
      <c r="C49" s="294">
        <v>2</v>
      </c>
      <c r="D49" s="294">
        <v>2010</v>
      </c>
      <c r="E49" s="286"/>
      <c r="F49" s="286"/>
      <c r="G49" s="286"/>
      <c r="H49" s="286"/>
      <c r="O49">
        <v>2011</v>
      </c>
      <c r="P49">
        <v>2</v>
      </c>
      <c r="Q49">
        <v>6900</v>
      </c>
      <c r="R49" t="s">
        <v>29</v>
      </c>
    </row>
    <row r="50" spans="1:8" ht="18" customHeight="1">
      <c r="A50" s="281" t="s">
        <v>120</v>
      </c>
      <c r="B50" s="285">
        <v>1</v>
      </c>
      <c r="C50" s="285">
        <v>2</v>
      </c>
      <c r="D50" s="285">
        <v>2011</v>
      </c>
      <c r="E50" s="286"/>
      <c r="F50" s="286"/>
      <c r="G50" s="286"/>
      <c r="H50" s="286"/>
    </row>
    <row r="51" spans="1:18" ht="18" customHeight="1">
      <c r="A51" s="281" t="s">
        <v>121</v>
      </c>
      <c r="B51" s="285">
        <v>19580</v>
      </c>
      <c r="C51" s="285"/>
      <c r="D51" s="285"/>
      <c r="E51" s="286"/>
      <c r="F51" s="286"/>
      <c r="G51" s="286"/>
      <c r="H51" s="286"/>
      <c r="N51">
        <v>6</v>
      </c>
      <c r="P51">
        <v>3</v>
      </c>
      <c r="Q51">
        <v>7100</v>
      </c>
      <c r="R51" t="s">
        <v>30</v>
      </c>
    </row>
    <row r="52" spans="1:8" ht="18" customHeight="1">
      <c r="A52" s="281" t="s">
        <v>122</v>
      </c>
      <c r="B52" s="285">
        <v>20110</v>
      </c>
      <c r="C52" s="285"/>
      <c r="D52" s="285"/>
      <c r="E52" s="286"/>
      <c r="F52" s="286"/>
      <c r="G52" s="286"/>
      <c r="H52" s="286"/>
    </row>
    <row r="53" spans="1:18" ht="18" customHeight="1">
      <c r="A53" s="281" t="s">
        <v>118</v>
      </c>
      <c r="B53" s="289">
        <v>7</v>
      </c>
      <c r="C53" s="285" t="str">
        <f>IF(B53=6,"JUNE",IF(B53=7,"JULY",IF(B53=8,"AUGUST",IF(B53=9,"SEPTEMBER","OCTOBER"))))</f>
        <v>JULY</v>
      </c>
      <c r="D53" s="285"/>
      <c r="E53" s="286"/>
      <c r="F53" s="286"/>
      <c r="G53" s="286"/>
      <c r="H53" s="286"/>
      <c r="N53">
        <v>7</v>
      </c>
      <c r="P53">
        <v>4</v>
      </c>
      <c r="Q53">
        <v>7300</v>
      </c>
      <c r="R53" t="s">
        <v>31</v>
      </c>
    </row>
    <row r="54" spans="1:18" ht="18" customHeight="1">
      <c r="A54" s="281" t="s">
        <v>382</v>
      </c>
      <c r="B54" s="353">
        <f>'FORM 47'!V23</f>
        <v>10882</v>
      </c>
      <c r="C54" s="354"/>
      <c r="D54" s="355"/>
      <c r="E54" s="286"/>
      <c r="F54" s="286"/>
      <c r="G54" s="286"/>
      <c r="H54" s="286"/>
      <c r="N54">
        <v>8</v>
      </c>
      <c r="P54">
        <v>5</v>
      </c>
      <c r="Q54">
        <v>7520</v>
      </c>
      <c r="R54" t="s">
        <v>32</v>
      </c>
    </row>
    <row r="55" spans="1:18" ht="15">
      <c r="A55" s="281" t="s">
        <v>383</v>
      </c>
      <c r="B55" s="353" t="s">
        <v>384</v>
      </c>
      <c r="C55" s="354"/>
      <c r="D55" s="355"/>
      <c r="E55" s="286"/>
      <c r="F55" s="286"/>
      <c r="G55" s="286"/>
      <c r="H55" s="286"/>
      <c r="I55" s="286"/>
      <c r="N55">
        <v>9</v>
      </c>
      <c r="P55">
        <v>6</v>
      </c>
      <c r="Q55">
        <v>7740</v>
      </c>
      <c r="R55" t="s">
        <v>33</v>
      </c>
    </row>
    <row r="56" spans="1:18" ht="15">
      <c r="A56" s="281" t="s">
        <v>385</v>
      </c>
      <c r="B56" s="356">
        <f>'FORM 47'!H56</f>
        <v>1504</v>
      </c>
      <c r="C56" s="354"/>
      <c r="D56" s="355"/>
      <c r="E56" s="286"/>
      <c r="F56" s="286"/>
      <c r="G56" s="286"/>
      <c r="H56" s="286"/>
      <c r="N56">
        <v>10</v>
      </c>
      <c r="P56">
        <v>7</v>
      </c>
      <c r="Q56">
        <v>7960</v>
      </c>
      <c r="R56" t="s">
        <v>34</v>
      </c>
    </row>
    <row r="57" spans="1:18" ht="15">
      <c r="A57" s="281" t="s">
        <v>386</v>
      </c>
      <c r="B57" s="353" t="s">
        <v>387</v>
      </c>
      <c r="C57" s="354"/>
      <c r="D57" s="355"/>
      <c r="E57" s="286"/>
      <c r="F57" s="286"/>
      <c r="G57" s="286"/>
      <c r="H57" s="286"/>
      <c r="P57">
        <v>8</v>
      </c>
      <c r="Q57">
        <v>8200</v>
      </c>
      <c r="R57" t="s">
        <v>35</v>
      </c>
    </row>
    <row r="58" spans="16:18" ht="14.25">
      <c r="P58">
        <v>9</v>
      </c>
      <c r="Q58">
        <v>8440</v>
      </c>
      <c r="R58" s="2" t="s">
        <v>36</v>
      </c>
    </row>
    <row r="59" spans="16:18" ht="14.25">
      <c r="P59">
        <v>10</v>
      </c>
      <c r="Q59">
        <v>8680</v>
      </c>
      <c r="R59" s="2" t="s">
        <v>37</v>
      </c>
    </row>
    <row r="60" spans="16:18" ht="14.25">
      <c r="P60">
        <v>11</v>
      </c>
      <c r="Q60">
        <v>8940</v>
      </c>
      <c r="R60" t="s">
        <v>38</v>
      </c>
    </row>
    <row r="61" spans="16:18" ht="14.25">
      <c r="P61">
        <v>12</v>
      </c>
      <c r="Q61">
        <v>9200</v>
      </c>
      <c r="R61" t="s">
        <v>39</v>
      </c>
    </row>
    <row r="62" spans="17:18" ht="14.25">
      <c r="Q62">
        <v>9460</v>
      </c>
      <c r="R62" t="s">
        <v>40</v>
      </c>
    </row>
    <row r="63" spans="17:18" ht="14.25">
      <c r="Q63">
        <v>9740</v>
      </c>
      <c r="R63" t="s">
        <v>41</v>
      </c>
    </row>
    <row r="64" spans="17:18" ht="14.25">
      <c r="Q64">
        <v>10020</v>
      </c>
      <c r="R64" t="s">
        <v>42</v>
      </c>
    </row>
    <row r="65" spans="17:18" ht="14.25">
      <c r="Q65">
        <v>10300</v>
      </c>
      <c r="R65" s="5" t="s">
        <v>43</v>
      </c>
    </row>
    <row r="66" spans="17:18" ht="14.25">
      <c r="Q66">
        <v>10600</v>
      </c>
      <c r="R66" s="5" t="s">
        <v>44</v>
      </c>
    </row>
    <row r="67" spans="17:18" ht="14.25">
      <c r="Q67">
        <v>10900</v>
      </c>
      <c r="R67" s="5" t="s">
        <v>45</v>
      </c>
    </row>
    <row r="68" spans="17:18" ht="14.25">
      <c r="Q68">
        <v>11200</v>
      </c>
      <c r="R68" s="5" t="s">
        <v>46</v>
      </c>
    </row>
    <row r="69" spans="17:18" ht="14.25">
      <c r="Q69">
        <v>11530</v>
      </c>
      <c r="R69" s="5" t="s">
        <v>47</v>
      </c>
    </row>
    <row r="70" spans="17:18" ht="14.25">
      <c r="Q70">
        <v>11860</v>
      </c>
      <c r="R70" s="5" t="s">
        <v>48</v>
      </c>
    </row>
    <row r="71" spans="17:18" ht="14.25">
      <c r="Q71">
        <v>12190</v>
      </c>
      <c r="R71" s="5" t="s">
        <v>49</v>
      </c>
    </row>
    <row r="72" spans="17:18" ht="14.25">
      <c r="Q72">
        <v>12550</v>
      </c>
      <c r="R72" s="5" t="s">
        <v>50</v>
      </c>
    </row>
    <row r="73" spans="17:18" ht="14.25">
      <c r="Q73">
        <v>12910</v>
      </c>
      <c r="R73" s="5" t="s">
        <v>51</v>
      </c>
    </row>
    <row r="74" spans="17:18" ht="14.25">
      <c r="Q74">
        <v>13270</v>
      </c>
      <c r="R74" s="5" t="s">
        <v>52</v>
      </c>
    </row>
    <row r="75" spans="17:18" ht="14.25">
      <c r="Q75">
        <v>13660</v>
      </c>
      <c r="R75" s="5" t="s">
        <v>53</v>
      </c>
    </row>
    <row r="76" spans="17:18" ht="14.25">
      <c r="Q76">
        <v>14050</v>
      </c>
      <c r="R76" s="5" t="s">
        <v>54</v>
      </c>
    </row>
    <row r="77" spans="17:18" ht="14.25">
      <c r="Q77">
        <v>14440</v>
      </c>
      <c r="R77" s="5" t="s">
        <v>55</v>
      </c>
    </row>
    <row r="78" spans="17:18" ht="14.25">
      <c r="Q78">
        <v>14860</v>
      </c>
      <c r="R78" s="5" t="s">
        <v>56</v>
      </c>
    </row>
    <row r="79" spans="17:18" ht="14.25">
      <c r="Q79">
        <v>15280</v>
      </c>
      <c r="R79" s="5" t="s">
        <v>57</v>
      </c>
    </row>
    <row r="80" spans="17:18" ht="14.25">
      <c r="Q80">
        <v>15700</v>
      </c>
      <c r="R80" s="5" t="s">
        <v>58</v>
      </c>
    </row>
    <row r="81" spans="17:18" ht="14.25">
      <c r="Q81">
        <v>16150</v>
      </c>
      <c r="R81" s="5"/>
    </row>
    <row r="82" ht="14.25">
      <c r="Q82">
        <v>16600</v>
      </c>
    </row>
    <row r="83" ht="14.25">
      <c r="Q83">
        <v>17050</v>
      </c>
    </row>
    <row r="84" ht="14.25">
      <c r="Q84">
        <v>17540</v>
      </c>
    </row>
    <row r="85" ht="14.25">
      <c r="Q85">
        <v>18030</v>
      </c>
    </row>
    <row r="86" ht="14.25">
      <c r="Q86">
        <v>18520</v>
      </c>
    </row>
    <row r="87" ht="14.25">
      <c r="Q87">
        <v>19050</v>
      </c>
    </row>
    <row r="88" ht="14.25">
      <c r="Q88">
        <v>19580</v>
      </c>
    </row>
    <row r="89" ht="14.25">
      <c r="Q89">
        <v>20110</v>
      </c>
    </row>
    <row r="90" ht="14.25">
      <c r="Q90">
        <v>20680</v>
      </c>
    </row>
    <row r="91" ht="14.25">
      <c r="Q91" s="4">
        <v>21250</v>
      </c>
    </row>
    <row r="92" ht="14.25">
      <c r="Q92">
        <v>21820</v>
      </c>
    </row>
    <row r="93" ht="14.25">
      <c r="Q93">
        <v>22430</v>
      </c>
    </row>
    <row r="94" ht="14.25">
      <c r="Q94">
        <v>23040</v>
      </c>
    </row>
    <row r="95" ht="14.25">
      <c r="Q95">
        <v>23650</v>
      </c>
    </row>
    <row r="96" ht="14.25">
      <c r="Q96">
        <v>24300</v>
      </c>
    </row>
    <row r="97" ht="14.25">
      <c r="Q97">
        <v>24950</v>
      </c>
    </row>
    <row r="98" ht="14.25">
      <c r="Q98">
        <v>25600</v>
      </c>
    </row>
    <row r="99" ht="14.25">
      <c r="Q99">
        <v>26300</v>
      </c>
    </row>
    <row r="100" ht="14.25">
      <c r="Q100">
        <v>27000</v>
      </c>
    </row>
    <row r="101" ht="14.25">
      <c r="Q101">
        <v>27700</v>
      </c>
    </row>
    <row r="102" ht="14.25">
      <c r="Q102">
        <v>28450</v>
      </c>
    </row>
    <row r="103" ht="14.25">
      <c r="Q103">
        <v>29200</v>
      </c>
    </row>
    <row r="104" ht="14.25">
      <c r="Q104">
        <v>29950</v>
      </c>
    </row>
    <row r="105" ht="14.25">
      <c r="Q105">
        <v>30750</v>
      </c>
    </row>
    <row r="106" ht="14.25">
      <c r="Q106">
        <v>31550</v>
      </c>
    </row>
    <row r="107" ht="14.25">
      <c r="Q107">
        <v>32350</v>
      </c>
    </row>
    <row r="108" ht="14.25">
      <c r="Q108">
        <v>33200</v>
      </c>
    </row>
    <row r="109" ht="14.25">
      <c r="Q109">
        <v>34050</v>
      </c>
    </row>
    <row r="110" ht="14.25">
      <c r="Q110">
        <v>34900</v>
      </c>
    </row>
    <row r="111" ht="14.25">
      <c r="Q111">
        <v>35800</v>
      </c>
    </row>
    <row r="112" ht="14.25">
      <c r="Q112">
        <v>36700</v>
      </c>
    </row>
    <row r="113" ht="14.25">
      <c r="Q113">
        <v>37600</v>
      </c>
    </row>
    <row r="114" ht="14.25">
      <c r="Q114">
        <v>38570</v>
      </c>
    </row>
    <row r="115" ht="14.25">
      <c r="Q115">
        <v>39540</v>
      </c>
    </row>
    <row r="116" ht="14.25">
      <c r="Q116">
        <v>40510</v>
      </c>
    </row>
    <row r="117" ht="14.25">
      <c r="Q117">
        <v>41550</v>
      </c>
    </row>
    <row r="118" ht="14.25">
      <c r="Q118">
        <v>42590</v>
      </c>
    </row>
    <row r="119" ht="14.25">
      <c r="Q119">
        <v>43630</v>
      </c>
    </row>
    <row r="120" ht="14.25">
      <c r="Q120">
        <v>44740</v>
      </c>
    </row>
    <row r="121" ht="14.25">
      <c r="Q121">
        <v>45850</v>
      </c>
    </row>
    <row r="122" ht="14.25">
      <c r="Q122">
        <v>46960</v>
      </c>
    </row>
    <row r="123" ht="14.25">
      <c r="Q123">
        <v>48160</v>
      </c>
    </row>
  </sheetData>
  <sheetProtection/>
  <mergeCells count="22">
    <mergeCell ref="B56:D56"/>
    <mergeCell ref="B57:D57"/>
    <mergeCell ref="B45:E45"/>
    <mergeCell ref="B48:E48"/>
    <mergeCell ref="B6:E6"/>
    <mergeCell ref="B15:E15"/>
    <mergeCell ref="B54:D54"/>
    <mergeCell ref="B55:D55"/>
    <mergeCell ref="A1:H1"/>
    <mergeCell ref="B17:E17"/>
    <mergeCell ref="B12:E12"/>
    <mergeCell ref="B13:E13"/>
    <mergeCell ref="B14:E14"/>
    <mergeCell ref="C7:H11"/>
    <mergeCell ref="B2:E2"/>
    <mergeCell ref="B3:E3"/>
    <mergeCell ref="B4:E4"/>
    <mergeCell ref="B5:E5"/>
    <mergeCell ref="B20:E20"/>
    <mergeCell ref="B21:E21"/>
    <mergeCell ref="B27:E27"/>
    <mergeCell ref="B28:E28"/>
  </mergeCells>
  <dataValidations count="10">
    <dataValidation type="list" allowBlank="1" showInputMessage="1" showErrorMessage="1" sqref="B31:B35">
      <formula1>$P$21:$P$28</formula1>
    </dataValidation>
    <dataValidation type="list" allowBlank="1" showInputMessage="1" showErrorMessage="1" sqref="C49:C50">
      <formula1>$P$47:$P$61</formula1>
    </dataValidation>
    <dataValidation type="list" allowBlank="1" showInputMessage="1" showErrorMessage="1" sqref="D49:D50">
      <formula1>$O$47:$O$49</formula1>
    </dataValidation>
    <dataValidation type="list" allowBlank="1" showInputMessage="1" showErrorMessage="1" sqref="B44 B46 B51:B52">
      <formula1>$Q$47:$Q$123</formula1>
    </dataValidation>
    <dataValidation type="list" allowBlank="1" showInputMessage="1" showErrorMessage="1" sqref="B45:E45 B48:E48">
      <formula1>$R$47:$R$81</formula1>
    </dataValidation>
    <dataValidation type="list" allowBlank="1" showInputMessage="1" showErrorMessage="1" sqref="B5">
      <formula1>$Q$4:$Q$5</formula1>
    </dataValidation>
    <dataValidation type="list" allowBlank="1" showInputMessage="1" showErrorMessage="1" sqref="B43">
      <formula1>$O$36:$O$37</formula1>
    </dataValidation>
    <dataValidation type="list" allowBlank="1" showInputMessage="1" showErrorMessage="1" sqref="B53">
      <formula1>$N$51:$N$56</formula1>
    </dataValidation>
    <dataValidation type="list" allowBlank="1" showInputMessage="1" showErrorMessage="1" sqref="B7">
      <formula1>$O$9:$O$12</formula1>
    </dataValidation>
    <dataValidation type="list" allowBlank="1" showInputMessage="1" showErrorMessage="1" sqref="B8">
      <formula1>$N$5:$N$7</formula1>
    </dataValidation>
  </dataValidation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F16"/>
  <sheetViews>
    <sheetView zoomScalePageLayoutView="0" workbookViewId="0" topLeftCell="A1">
      <selection activeCell="F9" sqref="F9"/>
    </sheetView>
  </sheetViews>
  <sheetFormatPr defaultColWidth="9.140625" defaultRowHeight="15"/>
  <cols>
    <col min="2" max="2" width="6.8515625" style="0" customWidth="1"/>
    <col min="3" max="3" width="17.140625" style="0" customWidth="1"/>
    <col min="4" max="4" width="21.28125" style="0" customWidth="1"/>
    <col min="5" max="5" width="20.140625" style="0" customWidth="1"/>
    <col min="6" max="6" width="19.140625" style="0" customWidth="1"/>
  </cols>
  <sheetData>
    <row r="1" spans="1:6" ht="31.5" customHeight="1">
      <c r="A1" s="8"/>
      <c r="B1" s="474" t="s">
        <v>313</v>
      </c>
      <c r="C1" s="474"/>
      <c r="D1" s="474"/>
      <c r="E1" s="474"/>
      <c r="F1" s="474"/>
    </row>
    <row r="2" spans="1:6" ht="31.5" customHeight="1">
      <c r="A2" s="8"/>
      <c r="B2" s="475" t="s">
        <v>314</v>
      </c>
      <c r="C2" s="475"/>
      <c r="D2" s="475"/>
      <c r="E2" s="475"/>
      <c r="F2" s="475"/>
    </row>
    <row r="3" spans="1:6" ht="31.5" customHeight="1">
      <c r="A3" s="473"/>
      <c r="B3" s="475" t="s">
        <v>315</v>
      </c>
      <c r="C3" s="475"/>
      <c r="D3" s="475"/>
      <c r="E3" s="475"/>
      <c r="F3" s="475"/>
    </row>
    <row r="4" spans="1:6" ht="31.5" customHeight="1">
      <c r="A4" s="473"/>
      <c r="B4" s="183" t="s">
        <v>316</v>
      </c>
      <c r="C4" s="183"/>
      <c r="D4" s="183" t="str">
        <f>DATA!B13</f>
        <v>STATE BANK OF INDIA, GANAPAVARAM</v>
      </c>
      <c r="E4" s="183"/>
      <c r="F4" s="183"/>
    </row>
    <row r="5" spans="1:5" ht="31.5" customHeight="1">
      <c r="A5" s="473"/>
      <c r="B5" s="183" t="s">
        <v>317</v>
      </c>
      <c r="C5" s="184"/>
      <c r="D5" s="185" t="str">
        <f>'FORM-101'!C4</f>
        <v>07010308063</v>
      </c>
      <c r="E5" s="186" t="s">
        <v>267</v>
      </c>
    </row>
    <row r="6" spans="1:5" ht="31.5" customHeight="1">
      <c r="A6" s="473"/>
      <c r="B6" s="51" t="s">
        <v>318</v>
      </c>
      <c r="C6" s="187"/>
      <c r="D6" s="296" t="str">
        <f>'FORM-101'!C6</f>
        <v>M.E.O,MANDAL PARISHAD, NIDAMARRU</v>
      </c>
      <c r="E6" s="186" t="s">
        <v>319</v>
      </c>
    </row>
    <row r="7" spans="1:6" ht="54.75" customHeight="1">
      <c r="A7" s="473"/>
      <c r="B7" s="168" t="s">
        <v>320</v>
      </c>
      <c r="C7" s="188" t="s">
        <v>321</v>
      </c>
      <c r="D7" s="189" t="s">
        <v>322</v>
      </c>
      <c r="E7" s="190" t="s">
        <v>323</v>
      </c>
      <c r="F7" s="169" t="s">
        <v>324</v>
      </c>
    </row>
    <row r="8" spans="1:6" s="193" customFormat="1" ht="92.25" customHeight="1">
      <c r="A8" s="473"/>
      <c r="B8" s="191">
        <v>1</v>
      </c>
      <c r="C8" s="191" t="str">
        <f>DATA!B6</f>
        <v>0706795</v>
      </c>
      <c r="D8" s="191" t="str">
        <f>DATA!B2</f>
        <v>V. HARI RAJA SEKHAR</v>
      </c>
      <c r="E8" s="297">
        <f>DATA!B12</f>
        <v>109573213563</v>
      </c>
      <c r="F8" s="192">
        <f>'FORM 47'!H56</f>
        <v>1504</v>
      </c>
    </row>
    <row r="9" spans="1:6" s="2" customFormat="1" ht="32.25" customHeight="1">
      <c r="A9" s="473"/>
      <c r="B9" s="194"/>
      <c r="C9" s="449" t="s">
        <v>107</v>
      </c>
      <c r="D9" s="458"/>
      <c r="E9" s="450"/>
      <c r="F9" s="179">
        <f>F8</f>
        <v>1504</v>
      </c>
    </row>
    <row r="10" ht="14.25">
      <c r="A10" s="473"/>
    </row>
    <row r="11" ht="14.25">
      <c r="A11" s="473"/>
    </row>
    <row r="12" ht="14.25">
      <c r="A12" s="473"/>
    </row>
    <row r="13" ht="27" customHeight="1">
      <c r="A13" s="473"/>
    </row>
    <row r="14" ht="27" customHeight="1">
      <c r="A14" s="473"/>
    </row>
    <row r="15" spans="3:6" ht="15.75">
      <c r="C15" s="195" t="s">
        <v>297</v>
      </c>
      <c r="D15" s="196"/>
      <c r="E15" s="197"/>
      <c r="F15" s="197" t="s">
        <v>325</v>
      </c>
    </row>
    <row r="16" spans="3:6" ht="15.75">
      <c r="C16" s="195" t="s">
        <v>326</v>
      </c>
      <c r="D16" s="196"/>
      <c r="E16" s="197"/>
      <c r="F16" s="197" t="s">
        <v>326</v>
      </c>
    </row>
  </sheetData>
  <sheetProtection/>
  <mergeCells count="5">
    <mergeCell ref="A3:A14"/>
    <mergeCell ref="B1:F1"/>
    <mergeCell ref="B2:F2"/>
    <mergeCell ref="B3:F3"/>
    <mergeCell ref="C9:E9"/>
  </mergeCells>
  <printOptions/>
  <pageMargins left="0.7" right="0.22" top="0.81"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G21"/>
  <sheetViews>
    <sheetView zoomScalePageLayoutView="0" workbookViewId="0" topLeftCell="A4">
      <selection activeCell="E11" sqref="E11:F11"/>
    </sheetView>
  </sheetViews>
  <sheetFormatPr defaultColWidth="9.140625" defaultRowHeight="15"/>
  <cols>
    <col min="2" max="2" width="5.57421875" style="0" customWidth="1"/>
    <col min="3" max="3" width="12.421875" style="0" customWidth="1"/>
    <col min="4" max="4" width="18.8515625" style="0" customWidth="1"/>
    <col min="6" max="6" width="16.00390625" style="0" customWidth="1"/>
  </cols>
  <sheetData>
    <row r="1" spans="2:7" ht="14.25">
      <c r="B1" s="476" t="s">
        <v>327</v>
      </c>
      <c r="C1" s="476"/>
      <c r="D1" s="476"/>
      <c r="E1" s="476"/>
      <c r="F1" s="476"/>
      <c r="G1" s="199"/>
    </row>
    <row r="2" spans="2:7" ht="14.25">
      <c r="B2" s="476" t="s">
        <v>328</v>
      </c>
      <c r="C2" s="476"/>
      <c r="D2" s="476"/>
      <c r="E2" s="476"/>
      <c r="F2" s="476"/>
      <c r="G2" s="198"/>
    </row>
    <row r="3" spans="2:7" ht="14.25">
      <c r="B3" s="476" t="s">
        <v>329</v>
      </c>
      <c r="C3" s="476"/>
      <c r="D3" s="476"/>
      <c r="E3" s="476"/>
      <c r="F3" s="476"/>
      <c r="G3" s="198"/>
    </row>
    <row r="4" spans="2:7" ht="16.5">
      <c r="B4" s="198"/>
      <c r="C4" s="200"/>
      <c r="D4" s="201"/>
      <c r="E4" s="198"/>
      <c r="F4" s="198"/>
      <c r="G4" s="198"/>
    </row>
    <row r="5" spans="2:7" ht="16.5" customHeight="1">
      <c r="B5" s="481" t="s">
        <v>316</v>
      </c>
      <c r="C5" s="481"/>
      <c r="D5" s="202" t="str">
        <f>'ANX-1'!D4</f>
        <v>STATE BANK OF INDIA, GANAPAVARAM</v>
      </c>
      <c r="E5" s="203"/>
      <c r="F5" s="203"/>
      <c r="G5" s="203"/>
    </row>
    <row r="6" spans="1:7" ht="30" customHeight="1">
      <c r="A6" s="479"/>
      <c r="B6" s="203" t="s">
        <v>317</v>
      </c>
      <c r="C6" s="205"/>
      <c r="D6" s="202" t="str">
        <f>'ANX-1'!D5</f>
        <v>07010308063</v>
      </c>
      <c r="E6" s="203"/>
      <c r="F6" s="203" t="s">
        <v>267</v>
      </c>
      <c r="G6" s="203"/>
    </row>
    <row r="7" spans="1:7" ht="48.75" customHeight="1">
      <c r="A7" s="479"/>
      <c r="B7" s="203" t="s">
        <v>330</v>
      </c>
      <c r="C7" s="205"/>
      <c r="D7" s="298" t="str">
        <f>'ANX-1'!D6</f>
        <v>M.E.O,MANDAL PARISHAD, NIDAMARRU</v>
      </c>
      <c r="E7" s="203"/>
      <c r="F7" s="203" t="s">
        <v>319</v>
      </c>
      <c r="G7" s="203"/>
    </row>
    <row r="8" spans="1:7" ht="16.5">
      <c r="A8" s="479"/>
      <c r="B8" s="206"/>
      <c r="C8" s="207"/>
      <c r="D8" s="208"/>
      <c r="E8" s="206"/>
      <c r="F8" s="206"/>
      <c r="G8" s="203"/>
    </row>
    <row r="9" spans="1:7" ht="44.25" customHeight="1">
      <c r="A9" s="479"/>
      <c r="B9" s="209" t="s">
        <v>331</v>
      </c>
      <c r="C9" s="188" t="s">
        <v>332</v>
      </c>
      <c r="D9" s="210" t="s">
        <v>333</v>
      </c>
      <c r="E9" s="477" t="s">
        <v>324</v>
      </c>
      <c r="F9" s="478"/>
      <c r="G9" s="203"/>
    </row>
    <row r="10" spans="1:7" ht="150" customHeight="1">
      <c r="A10" s="479"/>
      <c r="B10" s="211">
        <v>1</v>
      </c>
      <c r="C10" s="212" t="str">
        <f>DATA!B14</f>
        <v>STATE BANK OF INDIA, GANAPAVARAM</v>
      </c>
      <c r="D10" s="213" t="s">
        <v>379</v>
      </c>
      <c r="E10" s="483">
        <f>'ANX-1'!F8</f>
        <v>1504</v>
      </c>
      <c r="F10" s="484"/>
      <c r="G10" s="203"/>
    </row>
    <row r="11" spans="1:7" ht="38.25" customHeight="1">
      <c r="A11" s="479"/>
      <c r="B11" s="214"/>
      <c r="C11" s="485" t="s">
        <v>334</v>
      </c>
      <c r="D11" s="485"/>
      <c r="E11" s="486">
        <f>E10</f>
        <v>1504</v>
      </c>
      <c r="F11" s="487"/>
      <c r="G11" s="203"/>
    </row>
    <row r="12" spans="1:7" ht="16.5">
      <c r="A12" s="215"/>
      <c r="B12" s="203"/>
      <c r="C12" s="205"/>
      <c r="D12" s="216"/>
      <c r="E12" s="203"/>
      <c r="F12" s="203"/>
      <c r="G12" s="203"/>
    </row>
    <row r="13" spans="1:7" ht="31.5" customHeight="1">
      <c r="A13" s="482"/>
      <c r="B13" s="482"/>
      <c r="C13" s="480"/>
      <c r="D13" s="480"/>
      <c r="E13" s="480"/>
      <c r="F13" s="480"/>
      <c r="G13" s="203"/>
    </row>
    <row r="14" spans="2:7" ht="16.5">
      <c r="B14" s="203"/>
      <c r="C14" s="205"/>
      <c r="D14" s="216"/>
      <c r="E14" s="203"/>
      <c r="F14" s="203"/>
      <c r="G14" s="203"/>
    </row>
    <row r="15" spans="2:7" ht="16.5">
      <c r="B15" s="203"/>
      <c r="C15" s="205"/>
      <c r="D15" s="216"/>
      <c r="E15" s="203"/>
      <c r="F15" s="203"/>
      <c r="G15" s="203"/>
    </row>
    <row r="16" spans="2:7" ht="16.5">
      <c r="B16" s="203"/>
      <c r="C16" s="205"/>
      <c r="D16" s="216"/>
      <c r="E16" s="203"/>
      <c r="F16" s="203"/>
      <c r="G16" s="203"/>
    </row>
    <row r="17" spans="2:7" ht="16.5">
      <c r="B17" s="203"/>
      <c r="C17" s="205"/>
      <c r="D17" s="216"/>
      <c r="E17" s="203"/>
      <c r="F17" s="203"/>
      <c r="G17" s="203"/>
    </row>
    <row r="18" spans="2:7" ht="16.5">
      <c r="B18" s="203"/>
      <c r="C18" s="205"/>
      <c r="D18" s="216"/>
      <c r="E18" s="203"/>
      <c r="F18" s="203"/>
      <c r="G18" s="203"/>
    </row>
    <row r="19" spans="2:7" ht="16.5">
      <c r="B19" s="203"/>
      <c r="C19" s="205" t="s">
        <v>297</v>
      </c>
      <c r="D19" s="216"/>
      <c r="E19" s="203"/>
      <c r="F19" s="203" t="s">
        <v>325</v>
      </c>
      <c r="G19" s="203"/>
    </row>
    <row r="20" spans="2:7" ht="16.5">
      <c r="B20" s="203"/>
      <c r="C20" s="205" t="s">
        <v>326</v>
      </c>
      <c r="D20" s="216"/>
      <c r="E20" s="203"/>
      <c r="F20" s="203" t="s">
        <v>326</v>
      </c>
      <c r="G20" s="203"/>
    </row>
    <row r="21" spans="2:7" ht="16.5">
      <c r="B21" s="203"/>
      <c r="C21" s="205"/>
      <c r="D21" s="216"/>
      <c r="E21" s="203"/>
      <c r="F21" s="203"/>
      <c r="G21" s="203"/>
    </row>
  </sheetData>
  <sheetProtection/>
  <mergeCells count="11">
    <mergeCell ref="A6:A11"/>
    <mergeCell ref="C13:F13"/>
    <mergeCell ref="B5:C5"/>
    <mergeCell ref="A13:B13"/>
    <mergeCell ref="E10:F10"/>
    <mergeCell ref="C11:D11"/>
    <mergeCell ref="E11:F11"/>
    <mergeCell ref="B1:F1"/>
    <mergeCell ref="B2:F2"/>
    <mergeCell ref="B3:F3"/>
    <mergeCell ref="E9:F9"/>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K36"/>
  <sheetViews>
    <sheetView zoomScalePageLayoutView="0" workbookViewId="0" topLeftCell="A1">
      <selection activeCell="F6" sqref="F6"/>
    </sheetView>
  </sheetViews>
  <sheetFormatPr defaultColWidth="9.140625" defaultRowHeight="15"/>
  <cols>
    <col min="1" max="1" width="7.421875" style="0" customWidth="1"/>
    <col min="2" max="2" width="6.28125" style="0" customWidth="1"/>
    <col min="3" max="3" width="21.140625" style="0" customWidth="1"/>
    <col min="4" max="4" width="7.00390625" style="0" customWidth="1"/>
    <col min="5" max="5" width="22.00390625" style="0" customWidth="1"/>
    <col min="6" max="6" width="22.28125" style="0" customWidth="1"/>
    <col min="7" max="7" width="0" style="0" hidden="1" customWidth="1"/>
  </cols>
  <sheetData>
    <row r="1" spans="2:11" ht="15.75" customHeight="1">
      <c r="B1" s="488" t="s">
        <v>335</v>
      </c>
      <c r="C1" s="488"/>
      <c r="D1" s="488"/>
      <c r="E1" s="488"/>
      <c r="F1" s="488"/>
      <c r="G1" s="488"/>
      <c r="H1" s="218"/>
      <c r="I1" s="218"/>
      <c r="J1" s="218"/>
      <c r="K1" s="218"/>
    </row>
    <row r="2" spans="1:11" ht="15.75">
      <c r="A2" s="219"/>
      <c r="B2" s="488" t="s">
        <v>336</v>
      </c>
      <c r="C2" s="488"/>
      <c r="D2" s="488"/>
      <c r="E2" s="488"/>
      <c r="F2" s="488"/>
      <c r="G2" s="488"/>
      <c r="H2" s="220"/>
      <c r="I2" s="220"/>
      <c r="J2" s="220"/>
      <c r="K2" s="220"/>
    </row>
    <row r="3" spans="1:11" ht="15.75">
      <c r="A3" s="219"/>
      <c r="B3" s="488" t="s">
        <v>337</v>
      </c>
      <c r="C3" s="488"/>
      <c r="D3" s="488"/>
      <c r="E3" s="488"/>
      <c r="F3" s="488"/>
      <c r="G3" s="488"/>
      <c r="H3" s="220"/>
      <c r="I3" s="220"/>
      <c r="J3" s="220"/>
      <c r="K3" s="220"/>
    </row>
    <row r="4" spans="1:7" ht="15.75" customHeight="1">
      <c r="A4" s="219"/>
      <c r="B4" s="217"/>
      <c r="C4" s="217"/>
      <c r="D4" s="217"/>
      <c r="E4" s="217"/>
      <c r="F4" s="217"/>
      <c r="G4" s="221"/>
    </row>
    <row r="5" spans="1:7" ht="15.75">
      <c r="A5" s="219"/>
      <c r="B5" s="222" t="s">
        <v>338</v>
      </c>
      <c r="C5" s="223"/>
      <c r="D5" s="223" t="str">
        <f>'FORM-101'!G4&amp;'FORM-101'!H4&amp;'FORM-101'!I4&amp;'FORM-101'!J4</f>
        <v>0701</v>
      </c>
      <c r="E5" s="222" t="s">
        <v>339</v>
      </c>
      <c r="F5" s="224" t="str">
        <f>DATA!B15</f>
        <v>STO,DARSI</v>
      </c>
      <c r="G5" s="221"/>
    </row>
    <row r="6" spans="1:7" ht="42.75">
      <c r="A6" s="219"/>
      <c r="B6" s="222" t="s">
        <v>340</v>
      </c>
      <c r="C6" s="225"/>
      <c r="D6" s="226" t="str">
        <f>DATA!B18&amp;DATA!C18&amp;DATA!D18&amp;DATA!E18</f>
        <v>0890</v>
      </c>
      <c r="E6" s="225" t="s">
        <v>341</v>
      </c>
      <c r="F6" s="299" t="str">
        <f>DATA!B17</f>
        <v>STATE BANK OF INDIA, GANAPAVARAM</v>
      </c>
      <c r="G6" s="221"/>
    </row>
    <row r="7" spans="1:7" ht="14.25">
      <c r="A7" s="219"/>
      <c r="B7" s="221"/>
      <c r="C7" s="221"/>
      <c r="D7" s="221"/>
      <c r="E7" s="221"/>
      <c r="F7" s="221"/>
      <c r="G7" s="221"/>
    </row>
    <row r="8" spans="1:6" s="228" customFormat="1" ht="75" customHeight="1">
      <c r="A8" s="489"/>
      <c r="B8" s="227" t="s">
        <v>342</v>
      </c>
      <c r="C8" s="491" t="s">
        <v>332</v>
      </c>
      <c r="D8" s="492"/>
      <c r="E8" s="227" t="s">
        <v>343</v>
      </c>
      <c r="F8" s="227" t="s">
        <v>344</v>
      </c>
    </row>
    <row r="9" spans="1:6" ht="97.5" customHeight="1">
      <c r="A9" s="489"/>
      <c r="B9" s="73">
        <v>1</v>
      </c>
      <c r="C9" s="493" t="str">
        <f>'ANX-2'!C10</f>
        <v>STATE BANK OF INDIA, GANAPAVARAM</v>
      </c>
      <c r="D9" s="494"/>
      <c r="E9" s="229" t="str">
        <f>'ANX-2'!D10</f>
        <v>FIXATION ARREARS</v>
      </c>
      <c r="F9" s="75">
        <f>'ANX-2'!E10</f>
        <v>1504</v>
      </c>
    </row>
    <row r="10" spans="1:6" s="2" customFormat="1" ht="27.75" customHeight="1">
      <c r="A10" s="489"/>
      <c r="B10" s="495" t="s">
        <v>312</v>
      </c>
      <c r="C10" s="496"/>
      <c r="D10" s="496"/>
      <c r="E10" s="497"/>
      <c r="F10" s="75">
        <f>SUM(F9:F9)</f>
        <v>1504</v>
      </c>
    </row>
    <row r="11" spans="1:6" ht="14.25">
      <c r="A11" s="215"/>
      <c r="B11" s="44"/>
      <c r="C11" s="44"/>
      <c r="D11" s="44"/>
      <c r="E11" s="44"/>
      <c r="F11" s="230"/>
    </row>
    <row r="12" spans="1:6" ht="16.5" customHeight="1">
      <c r="A12" s="490"/>
      <c r="B12" s="490"/>
      <c r="C12" s="231"/>
      <c r="D12" s="231"/>
      <c r="E12" s="231"/>
      <c r="F12" s="231"/>
    </row>
    <row r="13" spans="1:6" ht="14.25">
      <c r="A13" s="215"/>
      <c r="B13" s="232"/>
      <c r="C13" s="232"/>
      <c r="D13" s="232"/>
      <c r="E13" s="233"/>
      <c r="F13" s="233"/>
    </row>
    <row r="14" spans="1:5" ht="14.25">
      <c r="A14" s="215"/>
      <c r="C14" s="232"/>
      <c r="D14" s="232"/>
      <c r="E14" s="232"/>
    </row>
    <row r="15" ht="14.25">
      <c r="A15" s="215"/>
    </row>
    <row r="16" ht="14.25">
      <c r="A16" s="215"/>
    </row>
    <row r="17" spans="1:6" ht="15">
      <c r="A17" s="215"/>
      <c r="F17" s="234" t="s">
        <v>345</v>
      </c>
    </row>
    <row r="18" spans="1:4" ht="23.25">
      <c r="A18" s="215"/>
      <c r="C18" s="235"/>
      <c r="D18" s="235"/>
    </row>
    <row r="19" ht="14.25">
      <c r="A19" s="236"/>
    </row>
    <row r="36" spans="1:4" ht="23.25">
      <c r="A36" s="204"/>
      <c r="C36" s="235"/>
      <c r="D36" s="235"/>
    </row>
  </sheetData>
  <sheetProtection/>
  <mergeCells count="8">
    <mergeCell ref="A12:B12"/>
    <mergeCell ref="C8:D8"/>
    <mergeCell ref="C9:D9"/>
    <mergeCell ref="B10:E10"/>
    <mergeCell ref="B1:G1"/>
    <mergeCell ref="B2:G2"/>
    <mergeCell ref="B3:G3"/>
    <mergeCell ref="A8:A10"/>
  </mergeCells>
  <printOptions/>
  <pageMargins left="0.43" right="0.7" top="1.24"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N17"/>
  <sheetViews>
    <sheetView zoomScalePageLayoutView="0" workbookViewId="0" topLeftCell="A12">
      <selection activeCell="E10" sqref="E10"/>
    </sheetView>
  </sheetViews>
  <sheetFormatPr defaultColWidth="9.140625" defaultRowHeight="15"/>
  <cols>
    <col min="1" max="1" width="5.8515625" style="0" customWidth="1"/>
    <col min="2" max="2" width="20.00390625" style="0" customWidth="1"/>
    <col min="5" max="5" width="11.00390625" style="0" customWidth="1"/>
    <col min="7" max="7" width="10.140625" style="0" customWidth="1"/>
    <col min="8" max="8" width="10.421875" style="0" customWidth="1"/>
    <col min="9" max="9" width="9.7109375" style="0" customWidth="1"/>
    <col min="10" max="10" width="12.421875" style="0" customWidth="1"/>
    <col min="11" max="11" width="16.28125" style="0" customWidth="1"/>
    <col min="12" max="12" width="13.00390625" style="0" customWidth="1"/>
    <col min="13" max="13" width="12.57421875" style="0" customWidth="1"/>
    <col min="14" max="14" width="15.28125" style="0" customWidth="1"/>
  </cols>
  <sheetData>
    <row r="1" spans="1:14" ht="18.75" thickTop="1">
      <c r="A1" s="500" t="s">
        <v>346</v>
      </c>
      <c r="B1" s="501"/>
      <c r="C1" s="501"/>
      <c r="D1" s="501"/>
      <c r="E1" s="501"/>
      <c r="F1" s="501"/>
      <c r="G1" s="501"/>
      <c r="H1" s="501"/>
      <c r="I1" s="501"/>
      <c r="J1" s="501"/>
      <c r="K1" s="501"/>
      <c r="L1" s="501"/>
      <c r="M1" s="501"/>
      <c r="N1" s="502"/>
    </row>
    <row r="2" spans="1:14" ht="15">
      <c r="A2" s="503" t="s">
        <v>347</v>
      </c>
      <c r="B2" s="504"/>
      <c r="C2" s="504"/>
      <c r="D2" s="504"/>
      <c r="E2" s="504"/>
      <c r="F2" s="504"/>
      <c r="G2" s="504"/>
      <c r="H2" s="504"/>
      <c r="I2" s="504"/>
      <c r="J2" s="504"/>
      <c r="K2" s="504"/>
      <c r="L2" s="504"/>
      <c r="M2" s="504"/>
      <c r="N2" s="505"/>
    </row>
    <row r="3" spans="1:14" ht="20.25">
      <c r="A3" s="506" t="s">
        <v>348</v>
      </c>
      <c r="B3" s="507"/>
      <c r="C3" s="507"/>
      <c r="D3" s="507"/>
      <c r="E3" s="507"/>
      <c r="F3" s="507"/>
      <c r="G3" s="507"/>
      <c r="H3" s="507"/>
      <c r="I3" s="507"/>
      <c r="J3" s="507"/>
      <c r="K3" s="507"/>
      <c r="L3" s="507"/>
      <c r="M3" s="507"/>
      <c r="N3" s="508"/>
    </row>
    <row r="4" spans="1:14" ht="15.75">
      <c r="A4" s="509" t="s">
        <v>349</v>
      </c>
      <c r="B4" s="510"/>
      <c r="C4" s="510"/>
      <c r="D4" s="510"/>
      <c r="E4" s="510"/>
      <c r="F4" s="510"/>
      <c r="G4" s="510"/>
      <c r="H4" s="510"/>
      <c r="I4" s="510"/>
      <c r="J4" s="510"/>
      <c r="K4" s="510"/>
      <c r="L4" s="510"/>
      <c r="M4" s="510"/>
      <c r="N4" s="511"/>
    </row>
    <row r="5" spans="1:14" ht="99.75" customHeight="1">
      <c r="A5" s="526" t="s">
        <v>362</v>
      </c>
      <c r="B5" s="527"/>
      <c r="C5" s="527"/>
      <c r="D5" s="527"/>
      <c r="E5" s="527"/>
      <c r="F5" s="527"/>
      <c r="G5" s="527"/>
      <c r="H5" s="527"/>
      <c r="I5" s="527"/>
      <c r="J5" s="527"/>
      <c r="K5" s="527"/>
      <c r="L5" s="527"/>
      <c r="M5" s="527"/>
      <c r="N5" s="528"/>
    </row>
    <row r="6" spans="1:14" ht="158.25" customHeight="1">
      <c r="A6" s="529" t="s">
        <v>309</v>
      </c>
      <c r="B6" s="530" t="s">
        <v>350</v>
      </c>
      <c r="C6" s="498" t="s">
        <v>351</v>
      </c>
      <c r="D6" s="498" t="s">
        <v>352</v>
      </c>
      <c r="E6" s="498" t="s">
        <v>353</v>
      </c>
      <c r="F6" s="498" t="s">
        <v>354</v>
      </c>
      <c r="G6" s="498"/>
      <c r="H6" s="531" t="s">
        <v>355</v>
      </c>
      <c r="I6" s="532"/>
      <c r="J6" s="498" t="s">
        <v>356</v>
      </c>
      <c r="K6" s="498" t="s">
        <v>357</v>
      </c>
      <c r="L6" s="498" t="s">
        <v>358</v>
      </c>
      <c r="M6" s="498" t="s">
        <v>359</v>
      </c>
      <c r="N6" s="533" t="s">
        <v>360</v>
      </c>
    </row>
    <row r="7" spans="1:14" ht="14.25">
      <c r="A7" s="529"/>
      <c r="B7" s="530"/>
      <c r="C7" s="498"/>
      <c r="D7" s="498"/>
      <c r="E7" s="498"/>
      <c r="F7" s="238" t="s">
        <v>361</v>
      </c>
      <c r="G7" s="238" t="s">
        <v>247</v>
      </c>
      <c r="H7" s="237" t="s">
        <v>361</v>
      </c>
      <c r="I7" s="237" t="s">
        <v>247</v>
      </c>
      <c r="J7" s="498"/>
      <c r="K7" s="498"/>
      <c r="L7" s="498"/>
      <c r="M7" s="498"/>
      <c r="N7" s="533"/>
    </row>
    <row r="8" spans="1:14" ht="14.25">
      <c r="A8" s="239">
        <v>1</v>
      </c>
      <c r="B8" s="240">
        <v>2</v>
      </c>
      <c r="C8" s="240">
        <v>3</v>
      </c>
      <c r="D8" s="240">
        <v>4</v>
      </c>
      <c r="E8" s="240">
        <v>5</v>
      </c>
      <c r="F8" s="240">
        <v>6</v>
      </c>
      <c r="G8" s="240">
        <v>7</v>
      </c>
      <c r="H8" s="240">
        <v>8</v>
      </c>
      <c r="I8" s="240">
        <v>9</v>
      </c>
      <c r="J8" s="240">
        <v>10</v>
      </c>
      <c r="K8" s="240">
        <v>11</v>
      </c>
      <c r="L8" s="240">
        <v>12</v>
      </c>
      <c r="M8" s="240">
        <v>13</v>
      </c>
      <c r="N8" s="241">
        <v>14</v>
      </c>
    </row>
    <row r="9" spans="1:14" ht="33" customHeight="1">
      <c r="A9" s="512">
        <v>1</v>
      </c>
      <c r="B9" s="515" t="str">
        <f>DATA!B2</f>
        <v>V. HARI RAJA SEKHAR</v>
      </c>
      <c r="C9" s="518" t="str">
        <f>DATA!B3</f>
        <v>S.G.T</v>
      </c>
      <c r="D9" s="521" t="s">
        <v>380</v>
      </c>
      <c r="E9" s="242"/>
      <c r="F9" s="243"/>
      <c r="G9" s="243"/>
      <c r="H9" s="243"/>
      <c r="I9" s="243"/>
      <c r="J9" s="242"/>
      <c r="K9" s="499"/>
      <c r="L9" s="243"/>
      <c r="M9" s="244"/>
      <c r="N9" s="245"/>
    </row>
    <row r="10" spans="1:14" ht="33" customHeight="1">
      <c r="A10" s="513"/>
      <c r="B10" s="516"/>
      <c r="C10" s="519"/>
      <c r="D10" s="522"/>
      <c r="E10" s="242"/>
      <c r="F10" s="243"/>
      <c r="G10" s="243"/>
      <c r="H10" s="243"/>
      <c r="I10" s="243"/>
      <c r="J10" s="242"/>
      <c r="K10" s="499"/>
      <c r="L10" s="243"/>
      <c r="M10" s="244"/>
      <c r="N10" s="245"/>
    </row>
    <row r="11" spans="1:14" ht="33" customHeight="1">
      <c r="A11" s="513"/>
      <c r="B11" s="516"/>
      <c r="C11" s="519"/>
      <c r="D11" s="522"/>
      <c r="E11" s="242"/>
      <c r="F11" s="243"/>
      <c r="G11" s="243"/>
      <c r="H11" s="243"/>
      <c r="I11" s="243"/>
      <c r="J11" s="246"/>
      <c r="K11" s="499"/>
      <c r="L11" s="243"/>
      <c r="M11" s="244"/>
      <c r="N11" s="245"/>
    </row>
    <row r="12" spans="1:14" ht="26.25" customHeight="1">
      <c r="A12" s="513"/>
      <c r="B12" s="516"/>
      <c r="C12" s="519"/>
      <c r="D12" s="522"/>
      <c r="E12" s="247"/>
      <c r="F12" s="243"/>
      <c r="G12" s="243"/>
      <c r="H12" s="243"/>
      <c r="I12" s="243"/>
      <c r="J12" s="243"/>
      <c r="K12" s="499"/>
      <c r="L12" s="243"/>
      <c r="M12" s="244"/>
      <c r="N12" s="245"/>
    </row>
    <row r="13" spans="1:14" ht="63.75" customHeight="1">
      <c r="A13" s="514"/>
      <c r="B13" s="517"/>
      <c r="C13" s="520"/>
      <c r="D13" s="523"/>
      <c r="E13" s="247"/>
      <c r="F13" s="248"/>
      <c r="G13" s="248"/>
      <c r="H13" s="248"/>
      <c r="I13" s="248"/>
      <c r="J13" s="237"/>
      <c r="K13" s="499"/>
      <c r="L13" s="243"/>
      <c r="M13" s="243"/>
      <c r="N13" s="245"/>
    </row>
    <row r="14" spans="1:14" ht="14.25">
      <c r="A14" s="249"/>
      <c r="B14" s="250"/>
      <c r="C14" s="250"/>
      <c r="D14" s="250"/>
      <c r="E14" s="250"/>
      <c r="F14" s="250"/>
      <c r="G14" s="250"/>
      <c r="H14" s="250"/>
      <c r="I14" s="250"/>
      <c r="J14" s="250"/>
      <c r="K14" s="250"/>
      <c r="L14" s="250"/>
      <c r="M14" s="250"/>
      <c r="N14" s="251"/>
    </row>
    <row r="15" spans="1:14" ht="14.25">
      <c r="A15" s="249"/>
      <c r="B15" s="250"/>
      <c r="C15" s="250"/>
      <c r="D15" s="250"/>
      <c r="E15" s="250"/>
      <c r="F15" s="250"/>
      <c r="G15" s="250"/>
      <c r="H15" s="250"/>
      <c r="I15" s="250"/>
      <c r="J15" s="250"/>
      <c r="K15" s="250"/>
      <c r="L15" s="524"/>
      <c r="M15" s="524"/>
      <c r="N15" s="525"/>
    </row>
    <row r="16" spans="1:14" ht="14.25">
      <c r="A16" s="249"/>
      <c r="B16" s="250"/>
      <c r="C16" s="250"/>
      <c r="D16" s="250"/>
      <c r="E16" s="250"/>
      <c r="F16" s="250"/>
      <c r="G16" s="250"/>
      <c r="H16" s="250"/>
      <c r="I16" s="250"/>
      <c r="J16" s="250"/>
      <c r="K16" s="252"/>
      <c r="L16" s="524"/>
      <c r="M16" s="524"/>
      <c r="N16" s="525"/>
    </row>
    <row r="17" spans="1:14" ht="15" thickBot="1">
      <c r="A17" s="253"/>
      <c r="B17" s="254"/>
      <c r="C17" s="254"/>
      <c r="D17" s="254"/>
      <c r="E17" s="254"/>
      <c r="F17" s="254"/>
      <c r="G17" s="254"/>
      <c r="H17" s="254"/>
      <c r="I17" s="254"/>
      <c r="J17" s="254"/>
      <c r="K17" s="255"/>
      <c r="L17" s="256"/>
      <c r="M17" s="256"/>
      <c r="N17" s="257"/>
    </row>
    <row r="18" ht="15" thickTop="1"/>
  </sheetData>
  <sheetProtection/>
  <mergeCells count="25">
    <mergeCell ref="A6:A7"/>
    <mergeCell ref="B6:B7"/>
    <mergeCell ref="F6:G6"/>
    <mergeCell ref="H6:I6"/>
    <mergeCell ref="C6:C7"/>
    <mergeCell ref="L16:N16"/>
    <mergeCell ref="L15:N15"/>
    <mergeCell ref="D6:D7"/>
    <mergeCell ref="E6:E7"/>
    <mergeCell ref="N6:N7"/>
    <mergeCell ref="J6:J7"/>
    <mergeCell ref="K12:K13"/>
    <mergeCell ref="A1:N1"/>
    <mergeCell ref="A2:N2"/>
    <mergeCell ref="A3:N3"/>
    <mergeCell ref="A4:N4"/>
    <mergeCell ref="A9:A13"/>
    <mergeCell ref="B9:B13"/>
    <mergeCell ref="C9:C13"/>
    <mergeCell ref="D9:D13"/>
    <mergeCell ref="A5:N5"/>
    <mergeCell ref="K6:K7"/>
    <mergeCell ref="L6:L7"/>
    <mergeCell ref="M6:M7"/>
    <mergeCell ref="K9:K11"/>
  </mergeCells>
  <printOptions/>
  <pageMargins left="0.7" right="0.35" top="0.23" bottom="0.38" header="0.15" footer="0.3"/>
  <pageSetup horizontalDpi="300" verticalDpi="300" orientation="landscape" paperSize="5" r:id="rId1"/>
</worksheet>
</file>

<file path=xl/worksheets/sheet14.xml><?xml version="1.0" encoding="utf-8"?>
<worksheet xmlns="http://schemas.openxmlformats.org/spreadsheetml/2006/main" xmlns:r="http://schemas.openxmlformats.org/officeDocument/2006/relationships">
  <dimension ref="A1:N28"/>
  <sheetViews>
    <sheetView zoomScalePageLayoutView="0" workbookViewId="0" topLeftCell="D1">
      <selection activeCell="N12" sqref="N12"/>
    </sheetView>
  </sheetViews>
  <sheetFormatPr defaultColWidth="9.140625" defaultRowHeight="15"/>
  <cols>
    <col min="5" max="5" width="14.00390625" style="0" customWidth="1"/>
    <col min="9" max="9" width="15.140625" style="0" customWidth="1"/>
    <col min="11" max="11" width="10.8515625" style="0" customWidth="1"/>
    <col min="12" max="12" width="11.421875" style="0" customWidth="1"/>
    <col min="14" max="14" width="9.00390625" style="0" customWidth="1"/>
  </cols>
  <sheetData>
    <row r="1" spans="1:14" ht="91.5" customHeight="1">
      <c r="A1" s="258" t="s">
        <v>363</v>
      </c>
      <c r="B1" s="537" t="s">
        <v>364</v>
      </c>
      <c r="C1" s="537"/>
      <c r="D1" s="537"/>
      <c r="E1" s="537"/>
      <c r="F1" s="537"/>
      <c r="G1" s="537"/>
      <c r="H1" s="537"/>
      <c r="I1" s="537"/>
      <c r="J1" s="537"/>
      <c r="K1" s="537"/>
      <c r="L1" s="537"/>
      <c r="M1" s="537"/>
      <c r="N1" s="538"/>
    </row>
    <row r="2" spans="1:14" ht="18">
      <c r="A2" s="539" t="s">
        <v>365</v>
      </c>
      <c r="B2" s="540"/>
      <c r="C2" s="540"/>
      <c r="D2" s="540"/>
      <c r="E2" s="540"/>
      <c r="F2" s="540"/>
      <c r="G2" s="540"/>
      <c r="H2" s="540"/>
      <c r="I2" s="540"/>
      <c r="J2" s="540"/>
      <c r="K2" s="540"/>
      <c r="L2" s="540"/>
      <c r="M2" s="540"/>
      <c r="N2" s="541"/>
    </row>
    <row r="3" spans="1:14" ht="14.25">
      <c r="A3" s="542" t="s">
        <v>366</v>
      </c>
      <c r="B3" s="543"/>
      <c r="C3" s="543"/>
      <c r="D3" s="543"/>
      <c r="E3" s="543"/>
      <c r="F3" s="543"/>
      <c r="G3" s="543"/>
      <c r="H3" s="543"/>
      <c r="I3" s="543"/>
      <c r="J3" s="543"/>
      <c r="K3" s="543"/>
      <c r="L3" s="543"/>
      <c r="M3" s="543"/>
      <c r="N3" s="544"/>
    </row>
    <row r="4" spans="1:14" ht="15" customHeight="1">
      <c r="A4" s="545"/>
      <c r="B4" s="546"/>
      <c r="C4" s="546"/>
      <c r="D4" s="546"/>
      <c r="E4" s="546"/>
      <c r="F4" s="546"/>
      <c r="G4" s="546"/>
      <c r="H4" s="546"/>
      <c r="I4" s="546"/>
      <c r="J4" s="546"/>
      <c r="K4" s="546"/>
      <c r="L4" s="546"/>
      <c r="M4" s="546"/>
      <c r="N4" s="547"/>
    </row>
    <row r="5" spans="1:14" ht="31.5" customHeight="1">
      <c r="A5" s="545"/>
      <c r="B5" s="546"/>
      <c r="C5" s="546"/>
      <c r="D5" s="546"/>
      <c r="E5" s="546"/>
      <c r="F5" s="546"/>
      <c r="G5" s="546"/>
      <c r="H5" s="546"/>
      <c r="I5" s="546"/>
      <c r="J5" s="546"/>
      <c r="K5" s="546"/>
      <c r="L5" s="546"/>
      <c r="M5" s="546"/>
      <c r="N5" s="547"/>
    </row>
    <row r="6" spans="1:14" ht="16.5" customHeight="1">
      <c r="A6" s="259" t="str">
        <f>CONCATENATE(" is being deducted from his salary in accordance with the Rules of compulsory insurance, them applicable to A P State Employees and Sum of Rs.______")</f>
        <v> is being deducted from his salary in accordance with the Rules of compulsory insurance, them applicable to A P State Employees and Sum of Rs.______</v>
      </c>
      <c r="B6" s="260"/>
      <c r="C6" s="260"/>
      <c r="D6" s="260"/>
      <c r="E6" s="260"/>
      <c r="F6" s="260"/>
      <c r="G6" s="260"/>
      <c r="H6" s="260"/>
      <c r="I6" s="260"/>
      <c r="J6" s="260"/>
      <c r="K6" s="260"/>
      <c r="L6" s="260"/>
      <c r="M6" s="260"/>
      <c r="N6" s="261"/>
    </row>
    <row r="7" spans="1:14" ht="21" customHeight="1">
      <c r="A7" s="534" t="s">
        <v>367</v>
      </c>
      <c r="B7" s="535"/>
      <c r="C7" s="535"/>
      <c r="D7" s="535"/>
      <c r="E7" s="535"/>
      <c r="F7" s="535"/>
      <c r="G7" s="535"/>
      <c r="H7" s="535"/>
      <c r="I7" s="535"/>
      <c r="J7" s="535"/>
      <c r="K7" s="535"/>
      <c r="L7" s="535"/>
      <c r="M7" s="535"/>
      <c r="N7" s="536"/>
    </row>
    <row r="8" spans="1:14" ht="16.5" customHeight="1">
      <c r="A8" s="534" t="s">
        <v>368</v>
      </c>
      <c r="B8" s="535"/>
      <c r="C8" s="535"/>
      <c r="D8" s="535"/>
      <c r="E8" s="535"/>
      <c r="F8" s="535"/>
      <c r="G8" s="535"/>
      <c r="H8" s="535"/>
      <c r="I8" s="535"/>
      <c r="J8" s="535"/>
      <c r="K8" s="535"/>
      <c r="L8" s="535"/>
      <c r="M8" s="535"/>
      <c r="N8" s="536"/>
    </row>
    <row r="9" spans="1:14" ht="14.25">
      <c r="A9" s="262"/>
      <c r="B9" s="263"/>
      <c r="C9" s="263"/>
      <c r="D9" s="263"/>
      <c r="E9" s="263"/>
      <c r="F9" s="263"/>
      <c r="G9" s="263"/>
      <c r="H9" s="263"/>
      <c r="I9" s="263"/>
      <c r="J9" s="263"/>
      <c r="K9" s="263"/>
      <c r="L9" s="263"/>
      <c r="M9" s="263"/>
      <c r="N9" s="264"/>
    </row>
    <row r="10" spans="1:14" ht="14.25">
      <c r="A10" s="262"/>
      <c r="B10" s="263"/>
      <c r="C10" s="263"/>
      <c r="D10" s="263"/>
      <c r="E10" s="263"/>
      <c r="F10" s="263"/>
      <c r="G10" s="263"/>
      <c r="H10" s="263"/>
      <c r="I10" s="263"/>
      <c r="J10" s="263"/>
      <c r="K10" s="263"/>
      <c r="L10" s="263"/>
      <c r="M10" s="263"/>
      <c r="N10" s="264"/>
    </row>
    <row r="11" spans="1:14" ht="14.25">
      <c r="A11" s="262"/>
      <c r="B11" s="265" t="s">
        <v>369</v>
      </c>
      <c r="C11" s="263"/>
      <c r="D11" s="263"/>
      <c r="E11" s="263"/>
      <c r="F11" s="263"/>
      <c r="G11" s="265" t="s">
        <v>370</v>
      </c>
      <c r="H11" s="263"/>
      <c r="I11" s="263"/>
      <c r="J11" s="263"/>
      <c r="K11" s="263"/>
      <c r="L11" s="263"/>
      <c r="M11" s="263"/>
      <c r="N11" s="264"/>
    </row>
    <row r="12" spans="1:14" ht="14.25">
      <c r="A12" s="259" t="s">
        <v>371</v>
      </c>
      <c r="B12" s="250"/>
      <c r="C12" s="250"/>
      <c r="D12" s="250"/>
      <c r="E12" s="250"/>
      <c r="F12" s="250"/>
      <c r="G12" s="250"/>
      <c r="H12" s="250"/>
      <c r="I12" s="250"/>
      <c r="J12" s="250"/>
      <c r="K12" s="250"/>
      <c r="L12" s="250"/>
      <c r="M12" s="250"/>
      <c r="N12" s="266"/>
    </row>
    <row r="13" spans="1:14" ht="14.25">
      <c r="A13" s="267"/>
      <c r="B13" s="250"/>
      <c r="C13" s="250"/>
      <c r="D13" s="250"/>
      <c r="E13" s="250"/>
      <c r="F13" s="250"/>
      <c r="G13" s="250"/>
      <c r="H13" s="250"/>
      <c r="I13" s="250"/>
      <c r="J13" s="250"/>
      <c r="K13" s="250"/>
      <c r="L13" s="250"/>
      <c r="M13" s="250"/>
      <c r="N13" s="266"/>
    </row>
    <row r="14" spans="1:14" ht="14.25">
      <c r="A14" s="267"/>
      <c r="B14" s="250"/>
      <c r="C14" s="250"/>
      <c r="D14" s="250"/>
      <c r="E14" s="250"/>
      <c r="F14" s="250"/>
      <c r="G14" s="250"/>
      <c r="H14" s="250"/>
      <c r="I14" s="250"/>
      <c r="J14" s="250"/>
      <c r="K14" s="252"/>
      <c r="L14" s="250"/>
      <c r="M14" s="250"/>
      <c r="N14" s="266"/>
    </row>
    <row r="15" spans="1:14" ht="14.25">
      <c r="A15" s="267"/>
      <c r="B15" s="250"/>
      <c r="C15" s="250"/>
      <c r="D15" s="250"/>
      <c r="E15" s="250"/>
      <c r="F15" s="250"/>
      <c r="G15" s="250"/>
      <c r="H15" s="250"/>
      <c r="I15" s="250"/>
      <c r="J15" s="250"/>
      <c r="K15" s="252"/>
      <c r="L15" s="250"/>
      <c r="M15" s="250"/>
      <c r="N15" s="266"/>
    </row>
    <row r="16" spans="1:14" ht="14.25">
      <c r="A16" s="267"/>
      <c r="B16" s="250"/>
      <c r="C16" s="250"/>
      <c r="D16" s="250"/>
      <c r="E16" s="250"/>
      <c r="F16" s="250"/>
      <c r="G16" s="250"/>
      <c r="H16" s="250"/>
      <c r="I16" s="250"/>
      <c r="J16" s="250"/>
      <c r="K16" s="250"/>
      <c r="L16" s="250"/>
      <c r="M16" s="250"/>
      <c r="N16" s="266"/>
    </row>
    <row r="17" spans="1:14" ht="14.25">
      <c r="A17" s="267"/>
      <c r="B17" s="268"/>
      <c r="C17" s="269"/>
      <c r="D17" s="269"/>
      <c r="E17" s="269"/>
      <c r="F17" s="269"/>
      <c r="G17" s="269"/>
      <c r="H17" s="269"/>
      <c r="I17" s="269"/>
      <c r="J17" s="269"/>
      <c r="K17" s="269"/>
      <c r="L17" s="269"/>
      <c r="M17" s="269"/>
      <c r="N17" s="270"/>
    </row>
    <row r="18" spans="1:14" ht="14.25">
      <c r="A18" s="267"/>
      <c r="B18" s="250"/>
      <c r="C18" s="250"/>
      <c r="D18" s="271"/>
      <c r="E18" s="250"/>
      <c r="F18" s="250"/>
      <c r="G18" s="250"/>
      <c r="H18" s="272"/>
      <c r="I18" s="250"/>
      <c r="J18" s="250"/>
      <c r="K18" s="250"/>
      <c r="L18" s="250"/>
      <c r="M18" s="250"/>
      <c r="N18" s="266"/>
    </row>
    <row r="19" spans="1:14" ht="14.25">
      <c r="A19" s="273"/>
      <c r="B19" s="250"/>
      <c r="C19" s="250"/>
      <c r="D19" s="274"/>
      <c r="E19" s="250"/>
      <c r="F19" s="250"/>
      <c r="G19" s="250"/>
      <c r="H19" s="250"/>
      <c r="I19" s="250"/>
      <c r="J19" s="250"/>
      <c r="K19" s="250"/>
      <c r="L19" s="250"/>
      <c r="M19" s="250"/>
      <c r="N19" s="266"/>
    </row>
    <row r="20" spans="1:14" ht="14.25">
      <c r="A20" s="267"/>
      <c r="B20" s="250"/>
      <c r="C20" s="250"/>
      <c r="D20" s="250"/>
      <c r="E20" s="250"/>
      <c r="F20" s="250"/>
      <c r="G20" s="250"/>
      <c r="H20" s="250"/>
      <c r="I20" s="250"/>
      <c r="J20" s="250"/>
      <c r="K20" s="250"/>
      <c r="L20" s="250"/>
      <c r="M20" s="250"/>
      <c r="N20" s="266"/>
    </row>
    <row r="21" spans="1:14" ht="14.25">
      <c r="A21" s="267"/>
      <c r="B21" s="250"/>
      <c r="C21" s="250"/>
      <c r="D21" s="250"/>
      <c r="E21" s="250"/>
      <c r="F21" s="250"/>
      <c r="G21" s="250"/>
      <c r="H21" s="250"/>
      <c r="I21" s="250"/>
      <c r="J21" s="250"/>
      <c r="K21" s="250"/>
      <c r="L21" s="250"/>
      <c r="M21" s="250"/>
      <c r="N21" s="266"/>
    </row>
    <row r="22" spans="1:14" ht="14.25">
      <c r="A22" s="267"/>
      <c r="B22" s="250"/>
      <c r="C22" s="250"/>
      <c r="D22" s="250"/>
      <c r="E22" s="250"/>
      <c r="F22" s="250"/>
      <c r="G22" s="250"/>
      <c r="H22" s="250"/>
      <c r="I22" s="250"/>
      <c r="J22" s="250"/>
      <c r="K22" s="250"/>
      <c r="L22" s="250"/>
      <c r="M22" s="250"/>
      <c r="N22" s="266"/>
    </row>
    <row r="23" spans="1:14" ht="14.25">
      <c r="A23" s="267"/>
      <c r="B23" s="250"/>
      <c r="C23" s="275"/>
      <c r="D23" s="275"/>
      <c r="E23" s="275"/>
      <c r="F23" s="275"/>
      <c r="G23" s="275"/>
      <c r="H23" s="275"/>
      <c r="I23" s="275"/>
      <c r="J23" s="250"/>
      <c r="K23" s="250"/>
      <c r="L23" s="250"/>
      <c r="M23" s="250"/>
      <c r="N23" s="266"/>
    </row>
    <row r="24" spans="1:14" ht="14.25">
      <c r="A24" s="267"/>
      <c r="B24" s="250"/>
      <c r="C24" s="250"/>
      <c r="D24" s="250"/>
      <c r="E24" s="250"/>
      <c r="F24" s="250"/>
      <c r="G24" s="250"/>
      <c r="H24" s="250"/>
      <c r="I24" s="250"/>
      <c r="J24" s="250"/>
      <c r="K24" s="250"/>
      <c r="L24" s="250"/>
      <c r="M24" s="250"/>
      <c r="N24" s="266"/>
    </row>
    <row r="25" spans="1:14" ht="14.25">
      <c r="A25" s="267"/>
      <c r="B25" s="250"/>
      <c r="C25" s="250"/>
      <c r="D25" s="250"/>
      <c r="E25" s="250"/>
      <c r="F25" s="250"/>
      <c r="G25" s="250"/>
      <c r="H25" s="250"/>
      <c r="I25" s="250"/>
      <c r="J25" s="250"/>
      <c r="K25" s="250"/>
      <c r="L25" s="250"/>
      <c r="M25" s="250"/>
      <c r="N25" s="266"/>
    </row>
    <row r="26" spans="1:14" ht="14.25">
      <c r="A26" s="267"/>
      <c r="B26" s="250"/>
      <c r="C26" s="250"/>
      <c r="D26" s="250"/>
      <c r="E26" s="250"/>
      <c r="F26" s="250"/>
      <c r="G26" s="250"/>
      <c r="H26" s="250"/>
      <c r="I26" s="250"/>
      <c r="J26" s="250"/>
      <c r="K26" s="250"/>
      <c r="L26" s="250"/>
      <c r="M26" s="250"/>
      <c r="N26" s="266"/>
    </row>
    <row r="27" spans="1:14" ht="14.25">
      <c r="A27" s="267"/>
      <c r="B27" s="250"/>
      <c r="C27" s="250"/>
      <c r="D27" s="250"/>
      <c r="E27" s="250"/>
      <c r="F27" s="250"/>
      <c r="G27" s="250"/>
      <c r="H27" s="250"/>
      <c r="I27" s="250"/>
      <c r="J27" s="250"/>
      <c r="K27" s="250"/>
      <c r="L27" s="250"/>
      <c r="M27" s="250"/>
      <c r="N27" s="266"/>
    </row>
    <row r="28" spans="1:14" ht="14.25">
      <c r="A28" s="276"/>
      <c r="B28" s="277"/>
      <c r="C28" s="277"/>
      <c r="D28" s="277"/>
      <c r="E28" s="277"/>
      <c r="F28" s="277"/>
      <c r="G28" s="277"/>
      <c r="H28" s="277"/>
      <c r="I28" s="277"/>
      <c r="J28" s="277"/>
      <c r="K28" s="277"/>
      <c r="L28" s="277"/>
      <c r="M28" s="277"/>
      <c r="N28" s="278"/>
    </row>
  </sheetData>
  <sheetProtection/>
  <mergeCells count="6">
    <mergeCell ref="A7:N7"/>
    <mergeCell ref="A8:N8"/>
    <mergeCell ref="B1:N1"/>
    <mergeCell ref="A2:N2"/>
    <mergeCell ref="A3:N3"/>
    <mergeCell ref="A4:N5"/>
  </mergeCells>
  <printOptions/>
  <pageMargins left="1.15" right="0.7" top="0.75" bottom="0.44" header="0.3" footer="0.3"/>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dimension ref="A1:IV60"/>
  <sheetViews>
    <sheetView zoomScalePageLayoutView="0" workbookViewId="0" topLeftCell="A1">
      <selection activeCell="J13" sqref="J13"/>
    </sheetView>
  </sheetViews>
  <sheetFormatPr defaultColWidth="9.140625" defaultRowHeight="15"/>
  <cols>
    <col min="3" max="3" width="10.140625" style="0" bestFit="1" customWidth="1"/>
    <col min="4" max="4" width="6.28125" style="0" customWidth="1"/>
    <col min="5" max="5" width="10.57421875" style="0" customWidth="1"/>
    <col min="6" max="6" width="9.7109375" style="0" customWidth="1"/>
    <col min="8" max="8" width="9.8515625" style="0" bestFit="1" customWidth="1"/>
  </cols>
  <sheetData>
    <row r="1" spans="1:9" ht="14.25">
      <c r="A1" s="361" t="str">
        <f>CONCATENATE("PROCEEDINGS OF THE ",DATA!B21,","&amp;DATA!B4)</f>
        <v>PROCEEDINGS OF THE M.E.O,MANDAL PARISHAD, NIDAMARRU</v>
      </c>
      <c r="B1" s="362"/>
      <c r="C1" s="362"/>
      <c r="D1" s="362"/>
      <c r="E1" s="362"/>
      <c r="F1" s="362"/>
      <c r="G1" s="362"/>
      <c r="H1" s="362"/>
      <c r="I1" s="363"/>
    </row>
    <row r="2" spans="1:9" ht="14.25">
      <c r="A2" s="358" t="str">
        <f>CONCATENATE("PRESENT : "&amp;DATA!B20)</f>
        <v>PRESENT : K.RAMBABU., M.A.B.Ed</v>
      </c>
      <c r="B2" s="359"/>
      <c r="C2" s="359"/>
      <c r="D2" s="359"/>
      <c r="E2" s="359"/>
      <c r="F2" s="359"/>
      <c r="G2" s="359"/>
      <c r="H2" s="359"/>
      <c r="I2" s="360"/>
    </row>
    <row r="3" spans="1:9" ht="9.75" customHeight="1">
      <c r="A3" s="303"/>
      <c r="B3" s="44"/>
      <c r="C3" s="44"/>
      <c r="D3" s="44"/>
      <c r="E3" s="44"/>
      <c r="F3" s="44"/>
      <c r="G3" s="44"/>
      <c r="H3" s="44"/>
      <c r="I3" s="304"/>
    </row>
    <row r="4" spans="1:9" ht="14.25">
      <c r="A4" s="303" t="str">
        <f>CONCATENATE(" Rc. No. "&amp;DATA!B29)</f>
        <v> Rc. No. 38/2011</v>
      </c>
      <c r="B4" s="44"/>
      <c r="C4" s="44"/>
      <c r="D4" s="44"/>
      <c r="E4" s="44"/>
      <c r="G4" s="15" t="s">
        <v>267</v>
      </c>
      <c r="H4" s="312">
        <f>DATA!B30</f>
        <v>40706</v>
      </c>
      <c r="I4" s="304"/>
    </row>
    <row r="5" spans="1:9" ht="14.25">
      <c r="A5" s="303"/>
      <c r="B5" s="364" t="str">
        <f>CONCATENATE("Sub : Establishment-"&amp;DATA!C6&amp;DATA!B4&amp;" Sanction of Modified Automatic Advancement Scheme- Orders issued-Reg")</f>
        <v>Sub : Establishment-MANDAL PARISHAD, NIDAMARRU Sanction of Modified Automatic Advancement Scheme- Orders issued-Reg</v>
      </c>
      <c r="C5" s="364"/>
      <c r="D5" s="364"/>
      <c r="E5" s="364"/>
      <c r="F5" s="364"/>
      <c r="G5" s="364"/>
      <c r="H5" s="44"/>
      <c r="I5" s="304"/>
    </row>
    <row r="6" spans="1:9" ht="14.25">
      <c r="A6" s="303"/>
      <c r="B6" s="364"/>
      <c r="C6" s="364"/>
      <c r="D6" s="364"/>
      <c r="E6" s="364"/>
      <c r="F6" s="364"/>
      <c r="G6" s="364"/>
      <c r="H6" s="44"/>
      <c r="I6" s="304"/>
    </row>
    <row r="7" spans="1:9" ht="14.25">
      <c r="A7" s="303"/>
      <c r="B7" s="364"/>
      <c r="C7" s="364"/>
      <c r="D7" s="364"/>
      <c r="E7" s="364"/>
      <c r="F7" s="364"/>
      <c r="G7" s="364"/>
      <c r="H7" s="44"/>
      <c r="I7" s="304"/>
    </row>
    <row r="8" spans="1:9" ht="14.25">
      <c r="A8" s="303"/>
      <c r="B8" s="364"/>
      <c r="C8" s="364"/>
      <c r="D8" s="364"/>
      <c r="E8" s="364"/>
      <c r="F8" s="364"/>
      <c r="G8" s="364"/>
      <c r="H8" s="44"/>
      <c r="I8" s="304"/>
    </row>
    <row r="9" spans="1:15" ht="14.25">
      <c r="A9" s="303"/>
      <c r="B9" s="9" t="s">
        <v>65</v>
      </c>
      <c r="C9" s="305"/>
      <c r="D9" s="9"/>
      <c r="E9" s="9"/>
      <c r="F9" s="9"/>
      <c r="G9" s="9"/>
      <c r="H9" s="9"/>
      <c r="I9" s="306"/>
      <c r="J9" s="9"/>
      <c r="K9" s="9"/>
      <c r="L9" s="9"/>
      <c r="M9" s="9"/>
      <c r="N9" s="9"/>
      <c r="O9" s="9"/>
    </row>
    <row r="10" spans="1:15" ht="14.25">
      <c r="A10" s="303"/>
      <c r="B10" s="10" t="s">
        <v>66</v>
      </c>
      <c r="C10" s="305"/>
      <c r="D10" s="10"/>
      <c r="E10" s="10"/>
      <c r="F10" s="10"/>
      <c r="G10" s="10"/>
      <c r="H10" s="10"/>
      <c r="I10" s="307"/>
      <c r="J10" s="10"/>
      <c r="K10" s="10"/>
      <c r="L10" s="10"/>
      <c r="M10" s="10"/>
      <c r="N10" s="10"/>
      <c r="O10" s="10"/>
    </row>
    <row r="11" spans="1:15" ht="14.25">
      <c r="A11" s="303"/>
      <c r="B11" s="10" t="s">
        <v>67</v>
      </c>
      <c r="C11" s="305"/>
      <c r="D11" s="10"/>
      <c r="E11" s="10"/>
      <c r="F11" s="10"/>
      <c r="G11" s="10"/>
      <c r="H11" s="10"/>
      <c r="I11" s="307"/>
      <c r="J11" s="10"/>
      <c r="K11" s="10"/>
      <c r="L11" s="10"/>
      <c r="M11" s="10"/>
      <c r="N11" s="10"/>
      <c r="O11" s="10"/>
    </row>
    <row r="12" spans="1:15" ht="15.75">
      <c r="A12" s="303"/>
      <c r="B12" s="9" t="s">
        <v>68</v>
      </c>
      <c r="C12" s="305"/>
      <c r="D12" s="11"/>
      <c r="E12" s="11"/>
      <c r="F12" s="11"/>
      <c r="G12" s="11"/>
      <c r="H12" s="11"/>
      <c r="I12" s="308"/>
      <c r="J12" s="11"/>
      <c r="K12" s="11"/>
      <c r="L12" s="11"/>
      <c r="M12" s="11"/>
      <c r="N12" s="11"/>
      <c r="O12" s="11"/>
    </row>
    <row r="13" spans="1:15" ht="15.75">
      <c r="A13" s="303"/>
      <c r="B13" s="9" t="s">
        <v>69</v>
      </c>
      <c r="C13" s="305"/>
      <c r="D13" s="11"/>
      <c r="E13" s="11"/>
      <c r="F13" s="11"/>
      <c r="G13" s="11"/>
      <c r="H13" s="11"/>
      <c r="I13" s="308"/>
      <c r="J13" s="11"/>
      <c r="K13" s="11"/>
      <c r="L13" s="11"/>
      <c r="M13" s="11"/>
      <c r="N13" s="11"/>
      <c r="O13" s="11"/>
    </row>
    <row r="14" spans="1:15" ht="14.25">
      <c r="A14" s="303"/>
      <c r="B14" s="9" t="s">
        <v>70</v>
      </c>
      <c r="C14" s="305"/>
      <c r="D14" s="9"/>
      <c r="E14" s="9"/>
      <c r="F14" s="9"/>
      <c r="G14" s="9"/>
      <c r="H14" s="9"/>
      <c r="I14" s="306"/>
      <c r="J14" s="12"/>
      <c r="K14" s="12"/>
      <c r="L14" s="12"/>
      <c r="M14" s="12"/>
      <c r="N14" s="12"/>
      <c r="O14" s="12"/>
    </row>
    <row r="15" spans="1:9" ht="6.75" customHeight="1">
      <c r="A15" s="303"/>
      <c r="B15" s="44"/>
      <c r="C15" s="44"/>
      <c r="D15" s="44"/>
      <c r="E15" s="44"/>
      <c r="F15" s="44"/>
      <c r="G15" s="44"/>
      <c r="H15" s="44"/>
      <c r="I15" s="304"/>
    </row>
    <row r="16" spans="1:9" ht="15">
      <c r="A16" s="309" t="s">
        <v>71</v>
      </c>
      <c r="B16" s="44"/>
      <c r="C16" s="44"/>
      <c r="D16" s="44"/>
      <c r="E16" s="44"/>
      <c r="F16" s="44"/>
      <c r="G16" s="44"/>
      <c r="H16" s="44"/>
      <c r="I16" s="304"/>
    </row>
    <row r="17" spans="1:9" ht="14.25">
      <c r="A17" s="303"/>
      <c r="B17" s="44" t="s">
        <v>72</v>
      </c>
      <c r="C17" s="44"/>
      <c r="D17" s="44"/>
      <c r="E17" s="44"/>
      <c r="F17" s="44"/>
      <c r="G17" s="44"/>
      <c r="H17" s="44"/>
      <c r="I17" s="304"/>
    </row>
    <row r="18" spans="1:9" ht="14.25">
      <c r="A18" s="303" t="s">
        <v>73</v>
      </c>
      <c r="B18" s="44"/>
      <c r="C18" s="44"/>
      <c r="D18" s="44"/>
      <c r="E18" s="44"/>
      <c r="F18" s="44"/>
      <c r="G18" s="44"/>
      <c r="H18" s="44"/>
      <c r="I18" s="304"/>
    </row>
    <row r="19" spans="1:9" ht="14.25">
      <c r="A19" s="303" t="s">
        <v>74</v>
      </c>
      <c r="B19" s="44"/>
      <c r="C19" s="44"/>
      <c r="D19" s="44"/>
      <c r="E19" s="44"/>
      <c r="F19" s="44"/>
      <c r="G19" s="44"/>
      <c r="H19" s="44"/>
      <c r="I19" s="304"/>
    </row>
    <row r="20" spans="1:9" ht="14.25">
      <c r="A20" s="303" t="s">
        <v>75</v>
      </c>
      <c r="B20" s="44"/>
      <c r="C20" s="44"/>
      <c r="D20" s="44"/>
      <c r="E20" s="44"/>
      <c r="F20" s="44"/>
      <c r="G20" s="44"/>
      <c r="H20" s="44"/>
      <c r="I20" s="304"/>
    </row>
    <row r="21" spans="1:9" ht="14.25">
      <c r="A21" s="303" t="s">
        <v>76</v>
      </c>
      <c r="B21" s="44"/>
      <c r="C21" s="44"/>
      <c r="D21" s="44"/>
      <c r="E21" s="44"/>
      <c r="F21" s="44"/>
      <c r="G21" s="44"/>
      <c r="H21" s="44"/>
      <c r="I21" s="304"/>
    </row>
    <row r="22" spans="1:9" ht="9.75" customHeight="1">
      <c r="A22" s="303"/>
      <c r="B22" s="44"/>
      <c r="C22" s="44"/>
      <c r="D22" s="44"/>
      <c r="E22" s="44"/>
      <c r="F22" s="44"/>
      <c r="G22" s="44"/>
      <c r="H22" s="44"/>
      <c r="I22" s="304"/>
    </row>
    <row r="23" spans="1:9" ht="15" customHeight="1">
      <c r="A23" s="365" t="str">
        <f>CONCATENATE("                 As per the terms and conditions laid down in G.O.Ms. No. 96, dated : 20.5.2011, Sri/Smt "&amp;DATA!B2&amp;","&amp;DATA!B3&amp;","&amp;DATA!B4)</f>
        <v>                 As per the terms and conditions laid down in G.O.Ms. No. 96, dated : 20.5.2011, Sri/Smt V. HARI RAJA SEKHAR,S.G.T,MANDAL PARISHAD, NIDAMARRU</v>
      </c>
      <c r="B23" s="366"/>
      <c r="C23" s="366"/>
      <c r="D23" s="366"/>
      <c r="E23" s="366"/>
      <c r="F23" s="366"/>
      <c r="G23" s="366"/>
      <c r="H23" s="366"/>
      <c r="I23" s="304"/>
    </row>
    <row r="24" spans="1:9" ht="14.25">
      <c r="A24" s="365"/>
      <c r="B24" s="366"/>
      <c r="C24" s="366"/>
      <c r="D24" s="366"/>
      <c r="E24" s="366"/>
      <c r="F24" s="366"/>
      <c r="G24" s="366"/>
      <c r="H24" s="366"/>
      <c r="I24" s="304"/>
    </row>
    <row r="25" spans="1:9" ht="21" customHeight="1">
      <c r="A25" s="370" t="str">
        <f>CONCATENATE("has completed "&amp;DATA!B31&amp;" years of service on ",DATA!AJ42,"/",DATA!AK42,"/",DATA!AL42," and he is eligible for")</f>
        <v>has completed 18 years of service on 10/8/2007 and he is eligible for</v>
      </c>
      <c r="B25" s="371"/>
      <c r="C25" s="371"/>
      <c r="D25" s="371"/>
      <c r="E25" s="371"/>
      <c r="F25" s="371"/>
      <c r="G25" s="371"/>
      <c r="H25" s="371"/>
      <c r="I25" s="304"/>
    </row>
    <row r="26" spans="1:9" ht="19.5" customHeight="1">
      <c r="A26" s="367" t="str">
        <f>CONCATENATE(IF(DATA!B31=6,"Special Grade Scale Post (6 years)",IF(DATA!B31=12,"Special Promotion Post I-A(12 years) ",IF(DATA!B31=18,"Special Promotion Post I-B( 18 years) "," Special Promotion Post Scale-II(24 years)"))))&amp;".Consequent on appointment into the above, scale the pay of the individual if fixed  as shown below."</f>
        <v>Special Promotion Post I-B( 18 years) .Consequent on appointment into the above, scale the pay of the individual if fixed  as shown below.</v>
      </c>
      <c r="B26" s="368"/>
      <c r="C26" s="368"/>
      <c r="D26" s="368"/>
      <c r="E26" s="368"/>
      <c r="F26" s="368"/>
      <c r="G26" s="368"/>
      <c r="H26" s="368"/>
      <c r="I26" s="304"/>
    </row>
    <row r="27" spans="1:9" ht="14.25">
      <c r="A27" s="367"/>
      <c r="B27" s="368"/>
      <c r="C27" s="368"/>
      <c r="D27" s="368"/>
      <c r="E27" s="368"/>
      <c r="F27" s="368"/>
      <c r="G27" s="368"/>
      <c r="H27" s="368"/>
      <c r="I27" s="304"/>
    </row>
    <row r="28" spans="1:9" ht="1.5" customHeight="1">
      <c r="A28" s="367"/>
      <c r="B28" s="368"/>
      <c r="C28" s="368"/>
      <c r="D28" s="368"/>
      <c r="E28" s="368"/>
      <c r="F28" s="368"/>
      <c r="G28" s="368"/>
      <c r="H28" s="368"/>
      <c r="I28" s="304"/>
    </row>
    <row r="29" spans="1:9" ht="8.25" customHeight="1">
      <c r="A29" s="303"/>
      <c r="B29" s="44"/>
      <c r="C29" s="44"/>
      <c r="D29" s="44"/>
      <c r="E29" s="44"/>
      <c r="F29" s="44"/>
      <c r="G29" s="44"/>
      <c r="H29" s="44"/>
      <c r="I29" s="304"/>
    </row>
    <row r="30" spans="1:9" ht="14.25">
      <c r="A30" s="303">
        <v>1</v>
      </c>
      <c r="B30" s="44" t="s">
        <v>80</v>
      </c>
      <c r="C30" s="44"/>
      <c r="D30" s="44"/>
      <c r="E30" s="300" t="str">
        <f>DATA!B2</f>
        <v>V. HARI RAJA SEKHAR</v>
      </c>
      <c r="F30" s="44"/>
      <c r="G30" s="44"/>
      <c r="H30" s="44"/>
      <c r="I30" s="304"/>
    </row>
    <row r="31" spans="1:9" ht="14.25">
      <c r="A31" s="303">
        <v>2</v>
      </c>
      <c r="B31" s="44" t="s">
        <v>81</v>
      </c>
      <c r="C31" s="44"/>
      <c r="D31" s="44"/>
      <c r="E31" s="300" t="str">
        <f>DATA!B3</f>
        <v>S.G.T</v>
      </c>
      <c r="F31" s="44"/>
      <c r="G31" s="44"/>
      <c r="H31" s="44"/>
      <c r="I31" s="304"/>
    </row>
    <row r="32" spans="1:9" ht="14.25">
      <c r="A32" s="303">
        <v>3</v>
      </c>
      <c r="B32" s="305" t="s">
        <v>82</v>
      </c>
      <c r="C32" s="44"/>
      <c r="D32" s="44"/>
      <c r="E32" s="310">
        <f>DATA!B36</f>
        <v>32731</v>
      </c>
      <c r="F32" s="44"/>
      <c r="G32" s="44"/>
      <c r="H32" s="44"/>
      <c r="I32" s="304"/>
    </row>
    <row r="33" spans="1:9" ht="14.25">
      <c r="A33" s="303">
        <v>4</v>
      </c>
      <c r="B33" s="305" t="s">
        <v>83</v>
      </c>
      <c r="C33" s="44"/>
      <c r="D33" s="44"/>
      <c r="E33" s="311" t="str">
        <f>IF(DATA!B37=0,"Nil",DATA!B37)</f>
        <v>Nil</v>
      </c>
      <c r="F33" s="44"/>
      <c r="G33" s="44"/>
      <c r="H33" s="44"/>
      <c r="I33" s="304"/>
    </row>
    <row r="34" spans="1:9" ht="14.25">
      <c r="A34" s="303">
        <v>5</v>
      </c>
      <c r="B34" s="44" t="str">
        <f>CONCATENATE(" Date of completion of "&amp;DATA!B31)</f>
        <v> Date of completion of 18</v>
      </c>
      <c r="C34" s="44"/>
      <c r="D34" s="44"/>
      <c r="E34" s="44"/>
      <c r="F34" s="44"/>
      <c r="G34" s="44"/>
      <c r="H34" s="44"/>
      <c r="I34" s="304"/>
    </row>
    <row r="35" spans="1:9" ht="14.25">
      <c r="A35" s="303"/>
      <c r="B35" s="44" t="s">
        <v>84</v>
      </c>
      <c r="C35" s="44"/>
      <c r="D35" s="44"/>
      <c r="E35" s="310">
        <f>DATA!B42</f>
        <v>39304</v>
      </c>
      <c r="F35" s="44"/>
      <c r="G35" s="44"/>
      <c r="H35" s="44"/>
      <c r="I35" s="304"/>
    </row>
    <row r="36" spans="1:9" ht="14.25">
      <c r="A36" s="303">
        <v>6</v>
      </c>
      <c r="B36" s="44" t="s">
        <v>85</v>
      </c>
      <c r="C36" s="44"/>
      <c r="D36" s="44"/>
      <c r="E36" s="44"/>
      <c r="F36" s="44"/>
      <c r="G36" s="44"/>
      <c r="H36" s="44"/>
      <c r="I36" s="304"/>
    </row>
    <row r="37" spans="1:9" ht="14.25">
      <c r="A37" s="303"/>
      <c r="B37" s="44" t="s">
        <v>78</v>
      </c>
      <c r="C37" s="44"/>
      <c r="D37" s="44"/>
      <c r="E37" s="44"/>
      <c r="F37" s="44"/>
      <c r="G37" s="44"/>
      <c r="H37" s="44"/>
      <c r="I37" s="304"/>
    </row>
    <row r="38" spans="1:9" ht="14.25">
      <c r="A38" s="303"/>
      <c r="B38" s="369" t="str">
        <f>IF(DATA!B31=6,"Special Grade Post(6 years)",IF(DATA!B31=12,"Special Promotion Post I-A(12 years)",IF(DATA!B31=18,"Special Promotion Post I-B(18 years)","Special Promotion Post-II(DATA!A3(24 years")))</f>
        <v>Special Promotion Post I-B(18 years)</v>
      </c>
      <c r="C38" s="369"/>
      <c r="D38" s="369"/>
      <c r="E38" s="312" t="str">
        <f>DATA!B47</f>
        <v>1-2-2010</v>
      </c>
      <c r="F38" s="44"/>
      <c r="G38" s="44"/>
      <c r="H38" s="44"/>
      <c r="I38" s="304"/>
    </row>
    <row r="39" spans="1:9" ht="14.25">
      <c r="A39" s="303"/>
      <c r="B39" s="369"/>
      <c r="C39" s="369"/>
      <c r="D39" s="369"/>
      <c r="E39" s="44"/>
      <c r="F39" s="44"/>
      <c r="G39" s="44"/>
      <c r="H39" s="44"/>
      <c r="I39" s="304"/>
    </row>
    <row r="40" spans="1:9" s="14" customFormat="1" ht="29.25" customHeight="1">
      <c r="A40" s="342">
        <v>7</v>
      </c>
      <c r="B40" s="300" t="s">
        <v>86</v>
      </c>
      <c r="C40" s="300"/>
      <c r="D40" s="300"/>
      <c r="E40" s="369" t="str">
        <f>DATA!B45</f>
        <v>14860-420-15700-450-17050-490-18520-530-20110-570-21820-610-23650-650-25600-700-27700-750-29950-800-32350-850-34900-900-37600-970-39540</v>
      </c>
      <c r="F40" s="369"/>
      <c r="G40" s="369"/>
      <c r="H40" s="369"/>
      <c r="I40" s="314"/>
    </row>
    <row r="41" spans="1:9" s="14" customFormat="1" ht="29.25" customHeight="1">
      <c r="A41" s="342"/>
      <c r="B41" s="315" t="s">
        <v>87</v>
      </c>
      <c r="C41" s="300"/>
      <c r="D41" s="300"/>
      <c r="E41" s="369"/>
      <c r="F41" s="369"/>
      <c r="G41" s="369"/>
      <c r="H41" s="369"/>
      <c r="I41" s="314"/>
    </row>
    <row r="42" spans="1:9" ht="14.25">
      <c r="A42" s="303">
        <v>8</v>
      </c>
      <c r="B42" s="44" t="s">
        <v>88</v>
      </c>
      <c r="C42" s="316" t="str">
        <f>DATA!B47</f>
        <v>1-2-2010</v>
      </c>
      <c r="D42" s="44" t="s">
        <v>79</v>
      </c>
      <c r="E42" s="44">
        <f>DATA!B44</f>
        <v>18520</v>
      </c>
      <c r="F42" s="44"/>
      <c r="G42" s="44"/>
      <c r="H42" s="44"/>
      <c r="I42" s="304"/>
    </row>
    <row r="43" spans="1:9" ht="14.25">
      <c r="A43" s="303">
        <v>9</v>
      </c>
      <c r="B43" s="305" t="s">
        <v>89</v>
      </c>
      <c r="C43" s="44"/>
      <c r="D43" s="44"/>
      <c r="E43" s="44"/>
      <c r="F43" s="44"/>
      <c r="G43" s="44"/>
      <c r="H43" s="44"/>
      <c r="I43" s="304"/>
    </row>
    <row r="44" spans="1:9" ht="15" customHeight="1">
      <c r="A44" s="303"/>
      <c r="B44" s="346" t="str">
        <f>CONCATENATE(IF(DATA!B31=6,"Special Grade Post(6 years)",IF(DATA!B31=12,"Special Promotion Post I-A(12 years)",IF(DATA!B31=18,"Special Promotion Post I-B(18 years)","Special Promotion Post-II(DATA!A3(24 years")))&amp;" Under F.R.22(a)(i) read with F.R.31(2)")</f>
        <v>Special Promotion Post I-B(18 years) Under F.R.22(a)(i) read with F.R.31(2)</v>
      </c>
      <c r="C44" s="346"/>
      <c r="D44" s="346"/>
      <c r="E44" s="44"/>
      <c r="F44" s="44"/>
      <c r="G44" s="44"/>
      <c r="H44" s="44"/>
      <c r="I44" s="304"/>
    </row>
    <row r="45" spans="1:9" ht="14.25">
      <c r="A45" s="303"/>
      <c r="B45" s="346"/>
      <c r="C45" s="346"/>
      <c r="D45" s="346"/>
      <c r="E45" s="44">
        <f>DATA!B46</f>
        <v>19050</v>
      </c>
      <c r="F45" s="44"/>
      <c r="G45" s="44"/>
      <c r="H45" s="44"/>
      <c r="I45" s="304"/>
    </row>
    <row r="46" spans="1:9" ht="14.25">
      <c r="A46" s="303"/>
      <c r="B46" s="346"/>
      <c r="C46" s="346"/>
      <c r="D46" s="346"/>
      <c r="E46" s="44"/>
      <c r="F46" s="44"/>
      <c r="G46" s="44"/>
      <c r="H46" s="44"/>
      <c r="I46" s="304"/>
    </row>
    <row r="47" spans="1:9" s="6" customFormat="1" ht="20.25" customHeight="1">
      <c r="A47" s="313">
        <v>10</v>
      </c>
      <c r="B47" s="317" t="s">
        <v>90</v>
      </c>
      <c r="C47" s="157"/>
      <c r="D47" s="157"/>
      <c r="E47" s="364" t="str">
        <f>DATA!B48</f>
        <v>15280-420-15700-450-17050-490-18520-530-20110-570-21820-610-23650-650-25600-700-27700-750-29950-800-32350-850-34900-900-37600-970-40510</v>
      </c>
      <c r="F47" s="364"/>
      <c r="G47" s="364"/>
      <c r="H47" s="364"/>
      <c r="I47" s="318"/>
    </row>
    <row r="48" spans="1:9" s="6" customFormat="1" ht="22.5" customHeight="1">
      <c r="A48" s="319"/>
      <c r="B48" s="346" t="str">
        <f>CONCATENATE("into "&amp;IF(DATA!B31=6,"Special Grade Post(6 years)",IF(DATA!B31=12,"Special Promotion Post I-A(12 years)",IF(DATA!B31=18,"Special Promotion Post I-B(18 years)","Special Promotion Post-II(DATA!A3(24 years")))&amp;" Under F.R.22(a)(i) read with F.R.31(2)")</f>
        <v>into Special Promotion Post I-B(18 years) Under F.R.22(a)(i) read with F.R.31(2)</v>
      </c>
      <c r="C48" s="346"/>
      <c r="D48" s="346"/>
      <c r="E48" s="364"/>
      <c r="F48" s="364"/>
      <c r="G48" s="364"/>
      <c r="H48" s="364"/>
      <c r="I48" s="318"/>
    </row>
    <row r="49" spans="1:9" s="6" customFormat="1" ht="22.5" customHeight="1">
      <c r="A49" s="319"/>
      <c r="B49" s="346"/>
      <c r="C49" s="346"/>
      <c r="D49" s="346"/>
      <c r="E49" s="364"/>
      <c r="F49" s="364"/>
      <c r="G49" s="364"/>
      <c r="H49" s="364"/>
      <c r="I49" s="318"/>
    </row>
    <row r="50" spans="1:9" ht="14.25">
      <c r="A50" s="303">
        <v>11</v>
      </c>
      <c r="B50" s="44" t="s">
        <v>91</v>
      </c>
      <c r="C50" s="44"/>
      <c r="D50" s="44"/>
      <c r="E50" s="44"/>
      <c r="F50" s="44"/>
      <c r="G50" s="44"/>
      <c r="H50" s="44"/>
      <c r="I50" s="304"/>
    </row>
    <row r="51" spans="1:9" ht="14.25">
      <c r="A51" s="303"/>
      <c r="B51" s="44" t="str">
        <f>CONCATENATE("increment on "&amp;DATA!B49&amp;"-"&amp;DATA!C49&amp;"-"&amp;DATA!D49)</f>
        <v>increment on 1-2-2010</v>
      </c>
      <c r="C51" s="44"/>
      <c r="D51" s="44"/>
      <c r="E51" s="44">
        <v>20680</v>
      </c>
      <c r="F51" s="44"/>
      <c r="G51" s="44"/>
      <c r="H51" s="44"/>
      <c r="I51" s="304"/>
    </row>
    <row r="52" spans="1:9" ht="14.25">
      <c r="A52" s="303">
        <v>12</v>
      </c>
      <c r="B52" s="44" t="s">
        <v>97</v>
      </c>
      <c r="C52" s="44"/>
      <c r="D52" s="44"/>
      <c r="E52" s="320" t="str">
        <f>DATA!B47</f>
        <v>1-2-2010</v>
      </c>
      <c r="F52" s="44"/>
      <c r="G52" s="44"/>
      <c r="H52" s="44"/>
      <c r="I52" s="304"/>
    </row>
    <row r="53" spans="1:9" ht="14.25">
      <c r="A53" s="303">
        <v>13</v>
      </c>
      <c r="B53" s="44" t="s">
        <v>92</v>
      </c>
      <c r="C53" s="44"/>
      <c r="D53" s="44"/>
      <c r="E53" s="321" t="str">
        <f>CONCATENATE(DATA!B49&amp;"-"&amp;DATA!C49&amp;"-"&amp;DATA!D49+1&amp;"")</f>
        <v>1-2-2011</v>
      </c>
      <c r="F53" s="44"/>
      <c r="G53" s="44"/>
      <c r="H53" s="44"/>
      <c r="I53" s="304"/>
    </row>
    <row r="54" spans="1:18" ht="45.75" customHeight="1">
      <c r="A54" s="372" t="s">
        <v>93</v>
      </c>
      <c r="B54" s="373"/>
      <c r="C54" s="373"/>
      <c r="D54" s="373"/>
      <c r="E54" s="373"/>
      <c r="F54" s="373"/>
      <c r="G54" s="373"/>
      <c r="H54" s="373"/>
      <c r="I54" s="374"/>
      <c r="J54" s="16"/>
      <c r="K54" s="16"/>
      <c r="L54" s="16"/>
      <c r="M54" s="16"/>
      <c r="N54" s="16"/>
      <c r="O54" s="16"/>
      <c r="P54" s="16"/>
      <c r="Q54" s="16"/>
      <c r="R54" s="16"/>
    </row>
    <row r="55" spans="1:256" ht="15" customHeight="1">
      <c r="A55" s="322" t="s">
        <v>94</v>
      </c>
      <c r="B55" s="323"/>
      <c r="C55" s="323"/>
      <c r="D55" s="323"/>
      <c r="E55" s="323"/>
      <c r="F55" s="323"/>
      <c r="G55" s="44"/>
      <c r="H55" s="324"/>
      <c r="I55" s="325"/>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ht="15" customHeight="1">
      <c r="A56" s="322" t="s">
        <v>95</v>
      </c>
      <c r="B56" s="323"/>
      <c r="C56" s="323"/>
      <c r="D56" s="323"/>
      <c r="E56" s="323"/>
      <c r="F56" s="323"/>
      <c r="G56" s="326" t="s">
        <v>98</v>
      </c>
      <c r="H56" s="324"/>
      <c r="I56" s="325"/>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ht="15" customHeight="1">
      <c r="A57" s="322" t="str">
        <f>CONCATENATE("2.The ",DATA!B15)</f>
        <v>2.The STO,DARSI</v>
      </c>
      <c r="B57" s="323"/>
      <c r="C57" s="323"/>
      <c r="D57" s="323"/>
      <c r="E57" s="323"/>
      <c r="F57" s="323"/>
      <c r="G57" s="326"/>
      <c r="H57" s="323"/>
      <c r="I57" s="325"/>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ht="18">
      <c r="A58" s="322" t="s">
        <v>96</v>
      </c>
      <c r="B58" s="323"/>
      <c r="C58" s="323"/>
      <c r="D58" s="323"/>
      <c r="E58" s="323"/>
      <c r="F58" s="323"/>
      <c r="G58" s="323"/>
      <c r="H58" s="323"/>
      <c r="I58" s="325"/>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9" ht="14.25">
      <c r="A59" s="303"/>
      <c r="B59" s="44"/>
      <c r="C59" s="44"/>
      <c r="D59" s="44"/>
      <c r="E59" s="44"/>
      <c r="F59" s="44"/>
      <c r="G59" s="44"/>
      <c r="H59" s="44"/>
      <c r="I59" s="304"/>
    </row>
    <row r="60" spans="1:9" ht="14.25">
      <c r="A60" s="327"/>
      <c r="B60" s="148"/>
      <c r="C60" s="148"/>
      <c r="D60" s="148"/>
      <c r="E60" s="148"/>
      <c r="F60" s="148"/>
      <c r="G60" s="148"/>
      <c r="H60" s="148"/>
      <c r="I60" s="328"/>
    </row>
  </sheetData>
  <sheetProtection/>
  <mergeCells count="13">
    <mergeCell ref="A26:H28"/>
    <mergeCell ref="B38:D39"/>
    <mergeCell ref="A25:H25"/>
    <mergeCell ref="A54:I54"/>
    <mergeCell ref="B44:D46"/>
    <mergeCell ref="E47:H49"/>
    <mergeCell ref="B48:D49"/>
    <mergeCell ref="E40:H41"/>
    <mergeCell ref="A40:A41"/>
    <mergeCell ref="A2:I2"/>
    <mergeCell ref="A1:I1"/>
    <mergeCell ref="B5:G8"/>
    <mergeCell ref="A23:H24"/>
  </mergeCells>
  <printOptions/>
  <pageMargins left="0.7" right="0.7" top="0.75" bottom="0.75" header="0.3" footer="0.3"/>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dimension ref="A1:AK31"/>
  <sheetViews>
    <sheetView zoomScalePageLayoutView="0" workbookViewId="0" topLeftCell="H13">
      <selection activeCell="AC11" sqref="AC11"/>
    </sheetView>
  </sheetViews>
  <sheetFormatPr defaultColWidth="9.140625" defaultRowHeight="15"/>
  <cols>
    <col min="1" max="3" width="10.421875" style="0" hidden="1" customWidth="1"/>
    <col min="4" max="5" width="7.421875" style="0" hidden="1" customWidth="1"/>
    <col min="6" max="6" width="10.421875" style="0" hidden="1" customWidth="1"/>
    <col min="7" max="7" width="9.00390625" style="0" hidden="1" customWidth="1"/>
    <col min="8" max="8" width="11.00390625" style="0" customWidth="1"/>
    <col min="9" max="9" width="10.421875" style="0" bestFit="1" customWidth="1"/>
    <col min="10" max="10" width="7.57421875" style="0" customWidth="1"/>
    <col min="11" max="11" width="7.28125" style="0" customWidth="1"/>
    <col min="12" max="12" width="6.8515625" style="0" customWidth="1"/>
    <col min="13" max="13" width="7.00390625" style="0" customWidth="1"/>
    <col min="14" max="14" width="5.7109375" style="0" customWidth="1"/>
    <col min="15" max="15" width="8.28125" style="0" customWidth="1"/>
    <col min="16" max="16" width="6.7109375" style="0" customWidth="1"/>
    <col min="17" max="17" width="7.00390625" style="0" customWidth="1"/>
    <col min="18" max="18" width="7.8515625" style="0" customWidth="1"/>
    <col min="19" max="19" width="6.57421875" style="0" bestFit="1" customWidth="1"/>
    <col min="20" max="20" width="7.8515625" style="0" customWidth="1"/>
    <col min="21" max="21" width="7.140625" style="0" customWidth="1"/>
    <col min="22" max="22" width="6.00390625" style="0" customWidth="1"/>
    <col min="23" max="24" width="6.28125" style="0" customWidth="1"/>
    <col min="25" max="25" width="7.421875" style="0" customWidth="1"/>
    <col min="26" max="27" width="9.00390625" style="0" hidden="1" customWidth="1"/>
    <col min="28" max="28" width="6.421875" style="0" customWidth="1"/>
    <col min="29" max="30" width="7.57421875" style="0" customWidth="1"/>
    <col min="31" max="31" width="6.421875" style="0" customWidth="1"/>
    <col min="32" max="33" width="8.421875" style="0" customWidth="1"/>
  </cols>
  <sheetData>
    <row r="1" spans="8:33" ht="30" customHeight="1">
      <c r="H1" s="335" t="s">
        <v>127</v>
      </c>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row>
    <row r="2" spans="8:37" ht="18.75" customHeight="1">
      <c r="H2" s="336" t="str">
        <f>DATA!B2</f>
        <v>V. HARI RAJA SEKHAR</v>
      </c>
      <c r="I2" s="336"/>
      <c r="J2" s="336"/>
      <c r="K2" s="332" t="str">
        <f>CONCATENATE(" The individual has completed "&amp;DATA!B31&amp;" of service on "&amp;DATA!I42&amp;"/"&amp;DATA!J42&amp;"/"&amp;DATA!K42&amp;" and he/she is sanctioned "&amp;IF(DATA!B31=6," Special Grade Post",IF(DATA!B31=12," Special Promotion Post I-A",IF(DATA!B31=18," Special Promotion Post I-B"," Special Promotion Post")))&amp;" in the time scale of pay Rs. "&amp;DATA!B48&amp;" w.e.f "&amp;DATA!B47&amp;" .The arrears due this award of Automatic Advancement Scheme will be from 1/2/2010, will be credited to ZPPF accounts from 1/2/2010 to 31/5/2011 and will be paid in cash from 30/6/2011 onwards, Vide Proceedings Rc. No. "&amp;DATA!B29&amp;" Dated "&amp;DATA!I30&amp;"/"&amp;DATA!J30&amp;"/"&amp;DATA!K30&amp;" of the "&amp;DATA!B21&amp;","&amp;DATA!B4&amp;" Necessary Entries have been made in the Service Register of the Individual")</f>
        <v> The individual has completed 18 of service on 10/8/2007 and he/she is sanctioned  Special Promotion Post I-B in the time scale of pay Rs. 15280-420-15700-450-17050-490-18520-530-20110-570-21820-610-23650-650-25600-700-27700-750-29950-800-32350-850-34900-900-37600-970-40510 w.e.f 1-2-2010 .The arrears due this award of Automatic Advancement Scheme will be from 1/2/2010, will be credited to ZPPF accounts from 1/2/2010 to 31/5/2011 and will be paid in cash from 30/6/2011 onwards, Vide Proceedings Rc. No. 38/2011 Dated 12/6/2011 of the M.E.O,MANDAL PARISHAD, NIDAMARRU Necessary Entries have been made in the Service Register of the Individual</v>
      </c>
      <c r="L2" s="333"/>
      <c r="M2" s="333"/>
      <c r="N2" s="333"/>
      <c r="O2" s="333"/>
      <c r="P2" s="333"/>
      <c r="Q2" s="333"/>
      <c r="R2" s="333"/>
      <c r="S2" s="333"/>
      <c r="T2" s="333"/>
      <c r="U2" s="333"/>
      <c r="V2" s="333"/>
      <c r="W2" s="333"/>
      <c r="X2" s="333"/>
      <c r="Y2" s="333"/>
      <c r="Z2" s="333"/>
      <c r="AA2" s="333"/>
      <c r="AB2" s="333"/>
      <c r="AC2" s="333"/>
      <c r="AD2" s="333"/>
      <c r="AE2" s="333"/>
      <c r="AF2" s="333"/>
      <c r="AG2" s="334"/>
      <c r="AH2" s="8"/>
      <c r="AI2" s="8"/>
      <c r="AJ2" s="8"/>
      <c r="AK2" s="8"/>
    </row>
    <row r="3" spans="8:37" ht="18.75" customHeight="1">
      <c r="H3" s="336" t="str">
        <f>DATA!B3</f>
        <v>S.G.T</v>
      </c>
      <c r="I3" s="336"/>
      <c r="J3" s="336"/>
      <c r="K3" s="329"/>
      <c r="L3" s="330"/>
      <c r="M3" s="330"/>
      <c r="N3" s="330"/>
      <c r="O3" s="330"/>
      <c r="P3" s="330"/>
      <c r="Q3" s="330"/>
      <c r="R3" s="330"/>
      <c r="S3" s="330"/>
      <c r="T3" s="330"/>
      <c r="U3" s="330"/>
      <c r="V3" s="330"/>
      <c r="W3" s="330"/>
      <c r="X3" s="330"/>
      <c r="Y3" s="330"/>
      <c r="Z3" s="330"/>
      <c r="AA3" s="330"/>
      <c r="AB3" s="330"/>
      <c r="AC3" s="330"/>
      <c r="AD3" s="330"/>
      <c r="AE3" s="330"/>
      <c r="AF3" s="330"/>
      <c r="AG3" s="375"/>
      <c r="AH3" s="8"/>
      <c r="AI3" s="8"/>
      <c r="AJ3" s="8"/>
      <c r="AK3" s="8"/>
    </row>
    <row r="4" spans="8:37" ht="18.75" customHeight="1">
      <c r="H4" s="331" t="str">
        <f>DATA!B4</f>
        <v>MANDAL PARISHAD, NIDAMARRU</v>
      </c>
      <c r="I4" s="331"/>
      <c r="J4" s="331"/>
      <c r="K4" s="329"/>
      <c r="L4" s="330"/>
      <c r="M4" s="330"/>
      <c r="N4" s="330"/>
      <c r="O4" s="330"/>
      <c r="P4" s="330"/>
      <c r="Q4" s="330"/>
      <c r="R4" s="330"/>
      <c r="S4" s="330"/>
      <c r="T4" s="330"/>
      <c r="U4" s="330"/>
      <c r="V4" s="330"/>
      <c r="W4" s="330"/>
      <c r="X4" s="330"/>
      <c r="Y4" s="330"/>
      <c r="Z4" s="330"/>
      <c r="AA4" s="330"/>
      <c r="AB4" s="330"/>
      <c r="AC4" s="330"/>
      <c r="AD4" s="330"/>
      <c r="AE4" s="330"/>
      <c r="AF4" s="330"/>
      <c r="AG4" s="375"/>
      <c r="AH4" s="8"/>
      <c r="AI4" s="8"/>
      <c r="AJ4" s="8"/>
      <c r="AK4" s="8"/>
    </row>
    <row r="5" spans="8:37" ht="18.75" customHeight="1">
      <c r="H5" s="331"/>
      <c r="I5" s="331"/>
      <c r="J5" s="331"/>
      <c r="K5" s="376"/>
      <c r="L5" s="377"/>
      <c r="M5" s="377"/>
      <c r="N5" s="377"/>
      <c r="O5" s="377"/>
      <c r="P5" s="377"/>
      <c r="Q5" s="377"/>
      <c r="R5" s="377"/>
      <c r="S5" s="377"/>
      <c r="T5" s="377"/>
      <c r="U5" s="377"/>
      <c r="V5" s="377"/>
      <c r="W5" s="377"/>
      <c r="X5" s="377"/>
      <c r="Y5" s="377"/>
      <c r="Z5" s="377"/>
      <c r="AA5" s="377"/>
      <c r="AB5" s="377"/>
      <c r="AC5" s="377"/>
      <c r="AD5" s="377"/>
      <c r="AE5" s="377"/>
      <c r="AF5" s="377"/>
      <c r="AG5" s="378"/>
      <c r="AH5" s="8"/>
      <c r="AI5" s="8"/>
      <c r="AJ5" s="8"/>
      <c r="AK5" s="8"/>
    </row>
    <row r="6" spans="8:33" ht="14.25">
      <c r="H6" s="337" t="s">
        <v>100</v>
      </c>
      <c r="I6" s="337"/>
      <c r="J6" s="19"/>
      <c r="K6" s="337" t="s">
        <v>103</v>
      </c>
      <c r="L6" s="337"/>
      <c r="M6" s="337"/>
      <c r="N6" s="337"/>
      <c r="O6" s="337"/>
      <c r="P6" s="337" t="s">
        <v>108</v>
      </c>
      <c r="Q6" s="337"/>
      <c r="R6" s="337"/>
      <c r="S6" s="337"/>
      <c r="T6" s="337"/>
      <c r="U6" s="337" t="s">
        <v>109</v>
      </c>
      <c r="V6" s="337"/>
      <c r="W6" s="337"/>
      <c r="X6" s="337"/>
      <c r="Y6" s="337"/>
      <c r="Z6" s="337"/>
      <c r="AA6" s="337"/>
      <c r="AB6" s="340" t="s">
        <v>110</v>
      </c>
      <c r="AC6" s="340" t="s">
        <v>125</v>
      </c>
      <c r="AD6" s="340" t="s">
        <v>111</v>
      </c>
      <c r="AE6" s="340" t="s">
        <v>112</v>
      </c>
      <c r="AF6" s="339" t="s">
        <v>113</v>
      </c>
      <c r="AG6" s="341" t="s">
        <v>114</v>
      </c>
    </row>
    <row r="7" spans="6:33" s="3" customFormat="1" ht="27.75" customHeight="1">
      <c r="F7" s="3" t="s">
        <v>103</v>
      </c>
      <c r="G7" s="3" t="s">
        <v>108</v>
      </c>
      <c r="H7" s="20" t="s">
        <v>101</v>
      </c>
      <c r="I7" s="20" t="s">
        <v>102</v>
      </c>
      <c r="J7" s="21" t="s">
        <v>115</v>
      </c>
      <c r="K7" s="20" t="s">
        <v>104</v>
      </c>
      <c r="L7" s="20" t="s">
        <v>105</v>
      </c>
      <c r="M7" s="20" t="s">
        <v>106</v>
      </c>
      <c r="N7" s="20" t="s">
        <v>110</v>
      </c>
      <c r="O7" s="20" t="s">
        <v>107</v>
      </c>
      <c r="P7" s="20" t="s">
        <v>104</v>
      </c>
      <c r="Q7" s="20" t="s">
        <v>105</v>
      </c>
      <c r="R7" s="20" t="s">
        <v>106</v>
      </c>
      <c r="S7" s="20" t="s">
        <v>110</v>
      </c>
      <c r="T7" s="20" t="s">
        <v>107</v>
      </c>
      <c r="U7" s="20" t="s">
        <v>104</v>
      </c>
      <c r="V7" s="20" t="s">
        <v>105</v>
      </c>
      <c r="W7" s="20" t="s">
        <v>106</v>
      </c>
      <c r="X7" s="20" t="s">
        <v>110</v>
      </c>
      <c r="Y7" s="20" t="s">
        <v>107</v>
      </c>
      <c r="Z7" s="337"/>
      <c r="AA7" s="337"/>
      <c r="AB7" s="340"/>
      <c r="AC7" s="340"/>
      <c r="AD7" s="340"/>
      <c r="AE7" s="340"/>
      <c r="AF7" s="339"/>
      <c r="AG7" s="341"/>
    </row>
    <row r="8" spans="1:33" ht="18.75" customHeight="1">
      <c r="A8" s="1">
        <v>40210</v>
      </c>
      <c r="B8" s="1">
        <v>40237</v>
      </c>
      <c r="C8" s="13">
        <f>DATA!B8</f>
        <v>2</v>
      </c>
      <c r="D8" s="13">
        <f>DATA!B7</f>
        <v>10</v>
      </c>
      <c r="E8" s="13">
        <f>IF(D8=10,12,IF(D8=12.5,14.5,22))</f>
        <v>12</v>
      </c>
      <c r="F8" s="13">
        <f>DATA!B46</f>
        <v>19050</v>
      </c>
      <c r="G8">
        <f>DATA!B44</f>
        <v>18520</v>
      </c>
      <c r="H8" s="22">
        <f>IF(DATA!B43=0,A8,DATA!B42+1)</f>
        <v>40210</v>
      </c>
      <c r="I8" s="23" t="str">
        <f>IF(DATA!B43=0,"28-2-2010",DATA!B42+13)</f>
        <v>28-2-2010</v>
      </c>
      <c r="J8" s="24" t="e">
        <f aca="true" t="shared" si="0" ref="J8:J17">(I8-H8)+1</f>
        <v>#VALUE!</v>
      </c>
      <c r="K8" s="24">
        <f>IF(DATA!B43=0,F8,ROUND(F8/31*J8,0))</f>
        <v>19050</v>
      </c>
      <c r="L8" s="24">
        <f>ROUND(K8*9.416%,0)</f>
        <v>1794</v>
      </c>
      <c r="M8" s="24">
        <f>ROUND(K8*D8%,0)</f>
        <v>1905</v>
      </c>
      <c r="N8" s="24" t="str">
        <f aca="true" t="shared" si="1" ref="N8:N17">Z8</f>
        <v>200</v>
      </c>
      <c r="O8" s="24">
        <f>SUM(K8:M8)</f>
        <v>22749</v>
      </c>
      <c r="P8" s="24">
        <f>IF(DATA!B43=0,G8,ROUND(G8/31*J8,0))</f>
        <v>18520</v>
      </c>
      <c r="Q8" s="24">
        <f>ROUND(P8*9.416%,0)</f>
        <v>1744</v>
      </c>
      <c r="R8" s="24">
        <f>ROUND(P8*D8%,0)</f>
        <v>1852</v>
      </c>
      <c r="S8" s="24">
        <f>IF(T8&gt;=20000,200,IF(T8&gt;=15000,150,IF(T8&gt;=10000,100,80)))</f>
        <v>200</v>
      </c>
      <c r="T8" s="24">
        <f>SUM(P8:R8)</f>
        <v>22116</v>
      </c>
      <c r="U8" s="24">
        <f>K8-P8</f>
        <v>530</v>
      </c>
      <c r="V8" s="24">
        <f>L8-Q8</f>
        <v>50</v>
      </c>
      <c r="W8" s="24">
        <f>M8-R8</f>
        <v>53</v>
      </c>
      <c r="X8" s="24">
        <f>N8-S8</f>
        <v>0</v>
      </c>
      <c r="Y8" s="24">
        <f>SUM(U8:W8)+X8</f>
        <v>633</v>
      </c>
      <c r="Z8" s="19" t="str">
        <f>IF(O8&gt;=20000,"200",IF(O8&gt;=15000,"150",IF(O8&gt;=10000,"100","80")))</f>
        <v>200</v>
      </c>
      <c r="AA8" s="19" t="str">
        <f>IF(T8&gt;=20000,"200",IF(T8&gt;=15000,"150",IF(T8&gt;=10000,"100","80")))</f>
        <v>200</v>
      </c>
      <c r="AB8" s="24">
        <f>Z8-AA8</f>
        <v>0</v>
      </c>
      <c r="AC8" s="24">
        <f>IF(C8=3,ROUND(Y8*90%,0)-AB8,0)</f>
        <v>0</v>
      </c>
      <c r="AD8" s="24">
        <f>IF(C8=3,(Y8-AC8)-AB8,0)</f>
        <v>0</v>
      </c>
      <c r="AE8" s="24">
        <f>IF(C8&lt;3,Y8-AB8,0)</f>
        <v>633</v>
      </c>
      <c r="AF8" s="24">
        <f aca="true" t="shared" si="2" ref="AF8:AF23">SUM(AB8:AE8)</f>
        <v>633</v>
      </c>
      <c r="AG8" s="24">
        <f>Y8-AF8</f>
        <v>0</v>
      </c>
    </row>
    <row r="9" spans="1:33" ht="18.75" customHeight="1">
      <c r="A9" s="1">
        <v>40238</v>
      </c>
      <c r="B9" s="1">
        <v>40268</v>
      </c>
      <c r="C9" s="13">
        <f>C8</f>
        <v>2</v>
      </c>
      <c r="D9" s="13">
        <f>D8</f>
        <v>10</v>
      </c>
      <c r="E9" s="13">
        <f aca="true" t="shared" si="3" ref="E9:E23">IF(D9=10,12,IF(D9=12.5,14.5,22))</f>
        <v>12</v>
      </c>
      <c r="F9">
        <f>IF(DATA!C49=3,DATA!B51,F8)</f>
        <v>19050</v>
      </c>
      <c r="G9">
        <f>IF(DATA!C49=3,DATA!B46,G8)</f>
        <v>18520</v>
      </c>
      <c r="H9" s="22">
        <f>IF(DATA!B43=0,A9,DATA!B42+14)</f>
        <v>40238</v>
      </c>
      <c r="I9" s="22">
        <f>IF(DATA!B43=0,B9,DATA!B42+43)</f>
        <v>40268</v>
      </c>
      <c r="J9" s="24">
        <f t="shared" si="0"/>
        <v>31</v>
      </c>
      <c r="K9" s="24">
        <f aca="true" t="shared" si="4" ref="K9:K17">F9</f>
        <v>19050</v>
      </c>
      <c r="L9" s="24">
        <f>ROUND(K9*9.416%,0)</f>
        <v>1794</v>
      </c>
      <c r="M9" s="24">
        <f aca="true" t="shared" si="5" ref="M9:M21">ROUND(K9*D9%,0)</f>
        <v>1905</v>
      </c>
      <c r="N9" s="24" t="str">
        <f t="shared" si="1"/>
        <v>200</v>
      </c>
      <c r="O9" s="24">
        <f>SUM(K9:M9)</f>
        <v>22749</v>
      </c>
      <c r="P9" s="24">
        <f aca="true" t="shared" si="6" ref="P9:P17">G9</f>
        <v>18520</v>
      </c>
      <c r="Q9" s="24">
        <f>ROUND(P9*9.416%,0)</f>
        <v>1744</v>
      </c>
      <c r="R9" s="24">
        <f aca="true" t="shared" si="7" ref="R9:R21">ROUND(P9*D9%,0)</f>
        <v>1852</v>
      </c>
      <c r="S9" s="24">
        <f aca="true" t="shared" si="8" ref="S9:S17">IF(T9&gt;=20000,200,IF(T9&gt;=15000,150,IF(T9&gt;=10000,100,80)))</f>
        <v>200</v>
      </c>
      <c r="T9" s="24">
        <f aca="true" t="shared" si="9" ref="T9:T23">SUM(P9:R9)</f>
        <v>22116</v>
      </c>
      <c r="U9" s="24">
        <f aca="true" t="shared" si="10" ref="U9:U24">K9-P9</f>
        <v>530</v>
      </c>
      <c r="V9" s="24">
        <f aca="true" t="shared" si="11" ref="V9:V23">L9-Q9</f>
        <v>50</v>
      </c>
      <c r="W9" s="24">
        <f aca="true" t="shared" si="12" ref="W9:W23">M9-R9</f>
        <v>53</v>
      </c>
      <c r="X9" s="24">
        <f aca="true" t="shared" si="13" ref="X9:X17">N9-S9</f>
        <v>0</v>
      </c>
      <c r="Y9" s="24">
        <f aca="true" t="shared" si="14" ref="Y9:Y24">SUM(U9:W9)+X9</f>
        <v>633</v>
      </c>
      <c r="Z9" s="19" t="str">
        <f aca="true" t="shared" si="15" ref="Z9:Z24">IF(O9&gt;=20000,"200",IF(O9&gt;=15000,"150",IF(O9&gt;=10000,"100","80")))</f>
        <v>200</v>
      </c>
      <c r="AA9" s="19" t="str">
        <f aca="true" t="shared" si="16" ref="AA9:AA24">IF(T9&gt;=20000,"200",IF(T9&gt;=15000,"150",IF(T9&gt;=10000,"100","80")))</f>
        <v>200</v>
      </c>
      <c r="AB9" s="24">
        <f aca="true" t="shared" si="17" ref="AB9:AB23">Z9-AA9</f>
        <v>0</v>
      </c>
      <c r="AC9" s="24">
        <f aca="true" t="shared" si="18" ref="AC9:AC22">IF(C9=3,ROUND(Y9*90%,0)-AB9,0)</f>
        <v>0</v>
      </c>
      <c r="AD9" s="24">
        <f aca="true" t="shared" si="19" ref="AD9:AD23">IF(C9=3,(Y9-AC9)-AB9,0)</f>
        <v>0</v>
      </c>
      <c r="AE9" s="24">
        <f aca="true" t="shared" si="20" ref="AE9:AE23">IF(C9&lt;3,Y9-AB9,0)</f>
        <v>633</v>
      </c>
      <c r="AF9" s="24">
        <f t="shared" si="2"/>
        <v>633</v>
      </c>
      <c r="AG9" s="24">
        <f aca="true" t="shared" si="21" ref="AG9:AG23">Y9-AF9</f>
        <v>0</v>
      </c>
    </row>
    <row r="10" spans="1:33" ht="18.75" customHeight="1">
      <c r="A10" s="1">
        <v>40269</v>
      </c>
      <c r="B10" s="1">
        <v>40298</v>
      </c>
      <c r="C10" s="13">
        <f>C9</f>
        <v>2</v>
      </c>
      <c r="D10" s="13">
        <f>D9</f>
        <v>10</v>
      </c>
      <c r="E10" s="13">
        <f t="shared" si="3"/>
        <v>12</v>
      </c>
      <c r="F10">
        <f>IF(DATA!C49=4,DATA!B51,F9)</f>
        <v>19050</v>
      </c>
      <c r="G10">
        <f>IF(DATA!C49=4,DATA!B46,G9)</f>
        <v>18520</v>
      </c>
      <c r="H10" s="22">
        <f>IF(DATA!B43=0,A10,I9+1)</f>
        <v>40269</v>
      </c>
      <c r="I10" s="22">
        <f>IF(DATA!B43=0,B10,H10+30)</f>
        <v>40298</v>
      </c>
      <c r="J10" s="24">
        <f t="shared" si="0"/>
        <v>30</v>
      </c>
      <c r="K10" s="24">
        <f t="shared" si="4"/>
        <v>19050</v>
      </c>
      <c r="L10" s="24">
        <f>ROUND(K10*9.416%,0)</f>
        <v>1794</v>
      </c>
      <c r="M10" s="24">
        <f t="shared" si="5"/>
        <v>1905</v>
      </c>
      <c r="N10" s="24" t="str">
        <f t="shared" si="1"/>
        <v>200</v>
      </c>
      <c r="O10" s="24">
        <f>SUM(K10:M10)</f>
        <v>22749</v>
      </c>
      <c r="P10" s="24">
        <f t="shared" si="6"/>
        <v>18520</v>
      </c>
      <c r="Q10" s="24">
        <f>ROUND(P10*9.416%,0)</f>
        <v>1744</v>
      </c>
      <c r="R10" s="24">
        <f t="shared" si="7"/>
        <v>1852</v>
      </c>
      <c r="S10" s="24">
        <f t="shared" si="8"/>
        <v>200</v>
      </c>
      <c r="T10" s="24">
        <f t="shared" si="9"/>
        <v>22116</v>
      </c>
      <c r="U10" s="24">
        <f t="shared" si="10"/>
        <v>530</v>
      </c>
      <c r="V10" s="24">
        <f t="shared" si="11"/>
        <v>50</v>
      </c>
      <c r="W10" s="24">
        <f t="shared" si="12"/>
        <v>53</v>
      </c>
      <c r="X10" s="24">
        <f t="shared" si="13"/>
        <v>0</v>
      </c>
      <c r="Y10" s="24">
        <f t="shared" si="14"/>
        <v>633</v>
      </c>
      <c r="Z10" s="19" t="str">
        <f t="shared" si="15"/>
        <v>200</v>
      </c>
      <c r="AA10" s="19" t="str">
        <f t="shared" si="16"/>
        <v>200</v>
      </c>
      <c r="AB10" s="24">
        <f t="shared" si="17"/>
        <v>0</v>
      </c>
      <c r="AC10" s="24">
        <f t="shared" si="18"/>
        <v>0</v>
      </c>
      <c r="AD10" s="24">
        <f t="shared" si="19"/>
        <v>0</v>
      </c>
      <c r="AE10" s="24">
        <f t="shared" si="20"/>
        <v>633</v>
      </c>
      <c r="AF10" s="24">
        <f t="shared" si="2"/>
        <v>633</v>
      </c>
      <c r="AG10" s="24">
        <f t="shared" si="21"/>
        <v>0</v>
      </c>
    </row>
    <row r="11" spans="1:33" ht="18.75" customHeight="1">
      <c r="A11" s="1">
        <v>40299</v>
      </c>
      <c r="B11" s="1">
        <v>40329</v>
      </c>
      <c r="C11" s="13">
        <f aca="true" t="shared" si="22" ref="C11:C23">C10</f>
        <v>2</v>
      </c>
      <c r="D11" s="13">
        <f aca="true" t="shared" si="23" ref="D11:D23">D10</f>
        <v>10</v>
      </c>
      <c r="E11" s="13">
        <f t="shared" si="3"/>
        <v>12</v>
      </c>
      <c r="F11">
        <f>IF(DATA!C49=5,DATA!B51,F10)</f>
        <v>19050</v>
      </c>
      <c r="G11">
        <f>IF(DATA!C49=5,DATA!B46,G10)</f>
        <v>18520</v>
      </c>
      <c r="H11" s="22">
        <f>IF(DATA!B43=0,A11,I10+1)</f>
        <v>40299</v>
      </c>
      <c r="I11" s="22">
        <f>IF(DATA!B43=0,B11,H11+29)</f>
        <v>40329</v>
      </c>
      <c r="J11" s="24">
        <f t="shared" si="0"/>
        <v>31</v>
      </c>
      <c r="K11" s="24">
        <f t="shared" si="4"/>
        <v>19050</v>
      </c>
      <c r="L11" s="24">
        <f>ROUND(K11*9.416%,0)</f>
        <v>1794</v>
      </c>
      <c r="M11" s="24">
        <f t="shared" si="5"/>
        <v>1905</v>
      </c>
      <c r="N11" s="24" t="str">
        <f t="shared" si="1"/>
        <v>200</v>
      </c>
      <c r="O11" s="24">
        <f>SUM(K11:M11)</f>
        <v>22749</v>
      </c>
      <c r="P11" s="24">
        <f t="shared" si="6"/>
        <v>18520</v>
      </c>
      <c r="Q11" s="24">
        <f>ROUND(P11*9.416%,0)</f>
        <v>1744</v>
      </c>
      <c r="R11" s="24">
        <f t="shared" si="7"/>
        <v>1852</v>
      </c>
      <c r="S11" s="24">
        <f t="shared" si="8"/>
        <v>200</v>
      </c>
      <c r="T11" s="24">
        <f t="shared" si="9"/>
        <v>22116</v>
      </c>
      <c r="U11" s="24">
        <f t="shared" si="10"/>
        <v>530</v>
      </c>
      <c r="V11" s="24">
        <f t="shared" si="11"/>
        <v>50</v>
      </c>
      <c r="W11" s="24">
        <f t="shared" si="12"/>
        <v>53</v>
      </c>
      <c r="X11" s="24">
        <f t="shared" si="13"/>
        <v>0</v>
      </c>
      <c r="Y11" s="24">
        <f t="shared" si="14"/>
        <v>633</v>
      </c>
      <c r="Z11" s="19" t="str">
        <f t="shared" si="15"/>
        <v>200</v>
      </c>
      <c r="AA11" s="19" t="str">
        <f t="shared" si="16"/>
        <v>200</v>
      </c>
      <c r="AB11" s="24">
        <f t="shared" si="17"/>
        <v>0</v>
      </c>
      <c r="AC11" s="24">
        <f t="shared" si="18"/>
        <v>0</v>
      </c>
      <c r="AD11" s="24">
        <f t="shared" si="19"/>
        <v>0</v>
      </c>
      <c r="AE11" s="24">
        <f t="shared" si="20"/>
        <v>633</v>
      </c>
      <c r="AF11" s="24">
        <f t="shared" si="2"/>
        <v>633</v>
      </c>
      <c r="AG11" s="24">
        <f t="shared" si="21"/>
        <v>0</v>
      </c>
    </row>
    <row r="12" spans="1:33" ht="18.75" customHeight="1">
      <c r="A12" s="1">
        <v>40330</v>
      </c>
      <c r="B12" s="1">
        <v>40359</v>
      </c>
      <c r="C12" s="13">
        <f t="shared" si="22"/>
        <v>2</v>
      </c>
      <c r="D12" s="13">
        <f t="shared" si="23"/>
        <v>10</v>
      </c>
      <c r="E12" s="13">
        <f t="shared" si="3"/>
        <v>12</v>
      </c>
      <c r="F12">
        <f>IF(DATA!C49=6,DATA!B51,F11)</f>
        <v>19050</v>
      </c>
      <c r="G12">
        <f>IF(DATA!C49=6,DATA!B46,G11)</f>
        <v>18520</v>
      </c>
      <c r="H12" s="22">
        <f>IF(DATA!B43=0,A12,I11+1)</f>
        <v>40330</v>
      </c>
      <c r="I12" s="22">
        <f>IF(DATA!B43=0,B12,H12+30)</f>
        <v>40359</v>
      </c>
      <c r="J12" s="24">
        <f t="shared" si="0"/>
        <v>30</v>
      </c>
      <c r="K12" s="24">
        <f t="shared" si="4"/>
        <v>19050</v>
      </c>
      <c r="L12" s="24">
        <f>ROUND(K12*9.416%,0)</f>
        <v>1794</v>
      </c>
      <c r="M12" s="24">
        <f t="shared" si="5"/>
        <v>1905</v>
      </c>
      <c r="N12" s="24" t="str">
        <f t="shared" si="1"/>
        <v>200</v>
      </c>
      <c r="O12" s="24">
        <f>SUM(K12:M12)</f>
        <v>22749</v>
      </c>
      <c r="P12" s="24">
        <f t="shared" si="6"/>
        <v>18520</v>
      </c>
      <c r="Q12" s="24">
        <f>ROUND(P12*9.416%,0)</f>
        <v>1744</v>
      </c>
      <c r="R12" s="24">
        <f t="shared" si="7"/>
        <v>1852</v>
      </c>
      <c r="S12" s="24">
        <f t="shared" si="8"/>
        <v>200</v>
      </c>
      <c r="T12" s="24">
        <f t="shared" si="9"/>
        <v>22116</v>
      </c>
      <c r="U12" s="24">
        <f t="shared" si="10"/>
        <v>530</v>
      </c>
      <c r="V12" s="24">
        <f t="shared" si="11"/>
        <v>50</v>
      </c>
      <c r="W12" s="24">
        <f t="shared" si="12"/>
        <v>53</v>
      </c>
      <c r="X12" s="24">
        <f t="shared" si="13"/>
        <v>0</v>
      </c>
      <c r="Y12" s="24">
        <f t="shared" si="14"/>
        <v>633</v>
      </c>
      <c r="Z12" s="19" t="str">
        <f t="shared" si="15"/>
        <v>200</v>
      </c>
      <c r="AA12" s="19" t="str">
        <f t="shared" si="16"/>
        <v>200</v>
      </c>
      <c r="AB12" s="24">
        <f t="shared" si="17"/>
        <v>0</v>
      </c>
      <c r="AC12" s="24">
        <f t="shared" si="18"/>
        <v>0</v>
      </c>
      <c r="AD12" s="24">
        <f t="shared" si="19"/>
        <v>0</v>
      </c>
      <c r="AE12" s="24">
        <f t="shared" si="20"/>
        <v>633</v>
      </c>
      <c r="AF12" s="24">
        <f t="shared" si="2"/>
        <v>633</v>
      </c>
      <c r="AG12" s="24">
        <f t="shared" si="21"/>
        <v>0</v>
      </c>
    </row>
    <row r="13" spans="1:33" ht="18.75" customHeight="1">
      <c r="A13" s="1">
        <v>40360</v>
      </c>
      <c r="B13" s="1">
        <v>40390</v>
      </c>
      <c r="C13" s="13">
        <f t="shared" si="22"/>
        <v>2</v>
      </c>
      <c r="D13" s="13">
        <f t="shared" si="23"/>
        <v>10</v>
      </c>
      <c r="E13" s="13">
        <f t="shared" si="3"/>
        <v>12</v>
      </c>
      <c r="F13">
        <f>IF(DATA!C49=7,DATA!B51,F12)</f>
        <v>19050</v>
      </c>
      <c r="G13">
        <f>IF(DATA!C49=7,DATA!B46,G12)</f>
        <v>18520</v>
      </c>
      <c r="H13" s="22">
        <f>IF(DATA!B43=0,A13,I12+1)</f>
        <v>40360</v>
      </c>
      <c r="I13" s="22">
        <f>IF(DATA!B43=0,B13,H13+30)</f>
        <v>40390</v>
      </c>
      <c r="J13" s="24">
        <f t="shared" si="0"/>
        <v>31</v>
      </c>
      <c r="K13" s="24">
        <f t="shared" si="4"/>
        <v>19050</v>
      </c>
      <c r="L13" s="24">
        <f aca="true" t="shared" si="24" ref="L13:L18">ROUND(K13*16.264%,0)</f>
        <v>3098</v>
      </c>
      <c r="M13" s="24">
        <f t="shared" si="5"/>
        <v>1905</v>
      </c>
      <c r="N13" s="24" t="str">
        <f t="shared" si="1"/>
        <v>200</v>
      </c>
      <c r="O13" s="24">
        <f aca="true" t="shared" si="25" ref="O13:O23">SUM(K13:M13)</f>
        <v>24053</v>
      </c>
      <c r="P13" s="24">
        <f t="shared" si="6"/>
        <v>18520</v>
      </c>
      <c r="Q13" s="24">
        <f aca="true" t="shared" si="26" ref="Q13:Q18">ROUND(P13*16.264%,0)</f>
        <v>3012</v>
      </c>
      <c r="R13" s="24">
        <f t="shared" si="7"/>
        <v>1852</v>
      </c>
      <c r="S13" s="24">
        <f t="shared" si="8"/>
        <v>200</v>
      </c>
      <c r="T13" s="24">
        <f t="shared" si="9"/>
        <v>23384</v>
      </c>
      <c r="U13" s="24">
        <f t="shared" si="10"/>
        <v>530</v>
      </c>
      <c r="V13" s="24">
        <f t="shared" si="11"/>
        <v>86</v>
      </c>
      <c r="W13" s="24">
        <f t="shared" si="12"/>
        <v>53</v>
      </c>
      <c r="X13" s="24">
        <f t="shared" si="13"/>
        <v>0</v>
      </c>
      <c r="Y13" s="24">
        <f t="shared" si="14"/>
        <v>669</v>
      </c>
      <c r="Z13" s="19" t="str">
        <f t="shared" si="15"/>
        <v>200</v>
      </c>
      <c r="AA13" s="19" t="str">
        <f t="shared" si="16"/>
        <v>200</v>
      </c>
      <c r="AB13" s="24">
        <f t="shared" si="17"/>
        <v>0</v>
      </c>
      <c r="AC13" s="24">
        <f t="shared" si="18"/>
        <v>0</v>
      </c>
      <c r="AD13" s="24">
        <f t="shared" si="19"/>
        <v>0</v>
      </c>
      <c r="AE13" s="24">
        <f t="shared" si="20"/>
        <v>669</v>
      </c>
      <c r="AF13" s="24">
        <f t="shared" si="2"/>
        <v>669</v>
      </c>
      <c r="AG13" s="24">
        <f t="shared" si="21"/>
        <v>0</v>
      </c>
    </row>
    <row r="14" spans="1:33" ht="18.75" customHeight="1">
      <c r="A14" s="1">
        <v>40391</v>
      </c>
      <c r="B14" s="1">
        <v>40421</v>
      </c>
      <c r="C14" s="13">
        <f t="shared" si="22"/>
        <v>2</v>
      </c>
      <c r="D14" s="13">
        <f t="shared" si="23"/>
        <v>10</v>
      </c>
      <c r="E14" s="13">
        <f t="shared" si="3"/>
        <v>12</v>
      </c>
      <c r="F14">
        <f>IF(DATA!C49=8,DATA!B51,F13)</f>
        <v>19050</v>
      </c>
      <c r="G14">
        <f>IF(DATA!C49=8,DATA!B46,G13)</f>
        <v>18520</v>
      </c>
      <c r="H14" s="22">
        <f>IF(DATA!B43=0,A14,I13+1)</f>
        <v>40391</v>
      </c>
      <c r="I14" s="22">
        <f>IF(DATA!B43=0,B14,H14+27)</f>
        <v>40421</v>
      </c>
      <c r="J14" s="24">
        <f t="shared" si="0"/>
        <v>31</v>
      </c>
      <c r="K14" s="24">
        <f t="shared" si="4"/>
        <v>19050</v>
      </c>
      <c r="L14" s="24">
        <f t="shared" si="24"/>
        <v>3098</v>
      </c>
      <c r="M14" s="24">
        <f t="shared" si="5"/>
        <v>1905</v>
      </c>
      <c r="N14" s="24" t="str">
        <f t="shared" si="1"/>
        <v>200</v>
      </c>
      <c r="O14" s="24">
        <f t="shared" si="25"/>
        <v>24053</v>
      </c>
      <c r="P14" s="24">
        <f t="shared" si="6"/>
        <v>18520</v>
      </c>
      <c r="Q14" s="24">
        <f t="shared" si="26"/>
        <v>3012</v>
      </c>
      <c r="R14" s="24">
        <f t="shared" si="7"/>
        <v>1852</v>
      </c>
      <c r="S14" s="24">
        <f t="shared" si="8"/>
        <v>200</v>
      </c>
      <c r="T14" s="24">
        <f t="shared" si="9"/>
        <v>23384</v>
      </c>
      <c r="U14" s="24">
        <f t="shared" si="10"/>
        <v>530</v>
      </c>
      <c r="V14" s="24">
        <f t="shared" si="11"/>
        <v>86</v>
      </c>
      <c r="W14" s="24">
        <f t="shared" si="12"/>
        <v>53</v>
      </c>
      <c r="X14" s="24">
        <f t="shared" si="13"/>
        <v>0</v>
      </c>
      <c r="Y14" s="24">
        <f t="shared" si="14"/>
        <v>669</v>
      </c>
      <c r="Z14" s="19" t="str">
        <f t="shared" si="15"/>
        <v>200</v>
      </c>
      <c r="AA14" s="19" t="str">
        <f t="shared" si="16"/>
        <v>200</v>
      </c>
      <c r="AB14" s="24">
        <f t="shared" si="17"/>
        <v>0</v>
      </c>
      <c r="AC14" s="24">
        <f t="shared" si="18"/>
        <v>0</v>
      </c>
      <c r="AD14" s="24">
        <f t="shared" si="19"/>
        <v>0</v>
      </c>
      <c r="AE14" s="24">
        <f t="shared" si="20"/>
        <v>669</v>
      </c>
      <c r="AF14" s="24">
        <f t="shared" si="2"/>
        <v>669</v>
      </c>
      <c r="AG14" s="24">
        <f t="shared" si="21"/>
        <v>0</v>
      </c>
    </row>
    <row r="15" spans="1:33" ht="18.75" customHeight="1">
      <c r="A15" s="1">
        <v>40422</v>
      </c>
      <c r="B15" s="1">
        <v>40451</v>
      </c>
      <c r="C15" s="13">
        <f t="shared" si="22"/>
        <v>2</v>
      </c>
      <c r="D15" s="13">
        <f t="shared" si="23"/>
        <v>10</v>
      </c>
      <c r="E15" s="13">
        <f t="shared" si="3"/>
        <v>12</v>
      </c>
      <c r="F15">
        <f>IF(DATA!C49=9,DATA!B51,F14)</f>
        <v>19050</v>
      </c>
      <c r="G15">
        <f>IF(DATA!C49=9,DATA!B46,G14)</f>
        <v>18520</v>
      </c>
      <c r="H15" s="22">
        <f>IF(DATA!B43=0,A15,I14+1)</f>
        <v>40422</v>
      </c>
      <c r="I15" s="22">
        <f>IF(DATA!B43=0,B15,H15+30)</f>
        <v>40451</v>
      </c>
      <c r="J15" s="24">
        <f t="shared" si="0"/>
        <v>30</v>
      </c>
      <c r="K15" s="24">
        <f t="shared" si="4"/>
        <v>19050</v>
      </c>
      <c r="L15" s="24">
        <f t="shared" si="24"/>
        <v>3098</v>
      </c>
      <c r="M15" s="24">
        <f t="shared" si="5"/>
        <v>1905</v>
      </c>
      <c r="N15" s="24" t="str">
        <f t="shared" si="1"/>
        <v>200</v>
      </c>
      <c r="O15" s="24">
        <f t="shared" si="25"/>
        <v>24053</v>
      </c>
      <c r="P15" s="24">
        <f t="shared" si="6"/>
        <v>18520</v>
      </c>
      <c r="Q15" s="24">
        <f t="shared" si="26"/>
        <v>3012</v>
      </c>
      <c r="R15" s="24">
        <f t="shared" si="7"/>
        <v>1852</v>
      </c>
      <c r="S15" s="24">
        <f t="shared" si="8"/>
        <v>200</v>
      </c>
      <c r="T15" s="24">
        <f t="shared" si="9"/>
        <v>23384</v>
      </c>
      <c r="U15" s="24">
        <f t="shared" si="10"/>
        <v>530</v>
      </c>
      <c r="V15" s="24">
        <f t="shared" si="11"/>
        <v>86</v>
      </c>
      <c r="W15" s="24">
        <f t="shared" si="12"/>
        <v>53</v>
      </c>
      <c r="X15" s="24">
        <f t="shared" si="13"/>
        <v>0</v>
      </c>
      <c r="Y15" s="24">
        <f t="shared" si="14"/>
        <v>669</v>
      </c>
      <c r="Z15" s="19" t="str">
        <f t="shared" si="15"/>
        <v>200</v>
      </c>
      <c r="AA15" s="19" t="str">
        <f t="shared" si="16"/>
        <v>200</v>
      </c>
      <c r="AB15" s="24">
        <f t="shared" si="17"/>
        <v>0</v>
      </c>
      <c r="AC15" s="24">
        <f t="shared" si="18"/>
        <v>0</v>
      </c>
      <c r="AD15" s="24">
        <f t="shared" si="19"/>
        <v>0</v>
      </c>
      <c r="AE15" s="24">
        <f t="shared" si="20"/>
        <v>669</v>
      </c>
      <c r="AF15" s="24">
        <f t="shared" si="2"/>
        <v>669</v>
      </c>
      <c r="AG15" s="24">
        <f t="shared" si="21"/>
        <v>0</v>
      </c>
    </row>
    <row r="16" spans="1:33" ht="18.75" customHeight="1">
      <c r="A16" s="1">
        <v>40452</v>
      </c>
      <c r="B16" s="1">
        <v>40482</v>
      </c>
      <c r="C16" s="13">
        <f t="shared" si="22"/>
        <v>2</v>
      </c>
      <c r="D16" s="13">
        <f t="shared" si="23"/>
        <v>10</v>
      </c>
      <c r="E16" s="13">
        <f t="shared" si="3"/>
        <v>12</v>
      </c>
      <c r="F16">
        <f>IF(DATA!C49=10,DATA!B51,F15)</f>
        <v>19050</v>
      </c>
      <c r="G16">
        <f>IF(DATA!C49=10,DATA!B46,G15)</f>
        <v>18520</v>
      </c>
      <c r="H16" s="22">
        <f>IF(DATA!B43=0,A16,I15+1)</f>
        <v>40452</v>
      </c>
      <c r="I16" s="22">
        <f>IF(DATA!B43=0,B16,H16+29)</f>
        <v>40482</v>
      </c>
      <c r="J16" s="24">
        <f t="shared" si="0"/>
        <v>31</v>
      </c>
      <c r="K16" s="24">
        <f t="shared" si="4"/>
        <v>19050</v>
      </c>
      <c r="L16" s="24">
        <f t="shared" si="24"/>
        <v>3098</v>
      </c>
      <c r="M16" s="24">
        <f t="shared" si="5"/>
        <v>1905</v>
      </c>
      <c r="N16" s="24" t="str">
        <f t="shared" si="1"/>
        <v>200</v>
      </c>
      <c r="O16" s="24">
        <f t="shared" si="25"/>
        <v>24053</v>
      </c>
      <c r="P16" s="24">
        <f t="shared" si="6"/>
        <v>18520</v>
      </c>
      <c r="Q16" s="24">
        <f t="shared" si="26"/>
        <v>3012</v>
      </c>
      <c r="R16" s="24">
        <f t="shared" si="7"/>
        <v>1852</v>
      </c>
      <c r="S16" s="24">
        <f t="shared" si="8"/>
        <v>200</v>
      </c>
      <c r="T16" s="24">
        <f t="shared" si="9"/>
        <v>23384</v>
      </c>
      <c r="U16" s="24">
        <f t="shared" si="10"/>
        <v>530</v>
      </c>
      <c r="V16" s="24">
        <f t="shared" si="11"/>
        <v>86</v>
      </c>
      <c r="W16" s="24">
        <f t="shared" si="12"/>
        <v>53</v>
      </c>
      <c r="X16" s="24">
        <f t="shared" si="13"/>
        <v>0</v>
      </c>
      <c r="Y16" s="24">
        <f t="shared" si="14"/>
        <v>669</v>
      </c>
      <c r="Z16" s="19" t="str">
        <f t="shared" si="15"/>
        <v>200</v>
      </c>
      <c r="AA16" s="19" t="str">
        <f t="shared" si="16"/>
        <v>200</v>
      </c>
      <c r="AB16" s="24">
        <f t="shared" si="17"/>
        <v>0</v>
      </c>
      <c r="AC16" s="24">
        <f t="shared" si="18"/>
        <v>0</v>
      </c>
      <c r="AD16" s="24">
        <f t="shared" si="19"/>
        <v>0</v>
      </c>
      <c r="AE16" s="24">
        <f t="shared" si="20"/>
        <v>669</v>
      </c>
      <c r="AF16" s="24">
        <f t="shared" si="2"/>
        <v>669</v>
      </c>
      <c r="AG16" s="24">
        <f t="shared" si="21"/>
        <v>0</v>
      </c>
    </row>
    <row r="17" spans="1:33" ht="18.75" customHeight="1">
      <c r="A17" s="1">
        <v>40483</v>
      </c>
      <c r="B17" s="1">
        <v>40512</v>
      </c>
      <c r="C17" s="13">
        <f t="shared" si="22"/>
        <v>2</v>
      </c>
      <c r="D17" s="13">
        <f t="shared" si="23"/>
        <v>10</v>
      </c>
      <c r="E17" s="13">
        <f t="shared" si="3"/>
        <v>12</v>
      </c>
      <c r="F17">
        <f>IF(DATA!C49=11,DATA!B51,F16)</f>
        <v>19050</v>
      </c>
      <c r="G17">
        <f>IF(DATA!C49=11,DATA!B51,G16)</f>
        <v>18520</v>
      </c>
      <c r="H17" s="22">
        <f>IF(DATA!B43=0,A17,I16+1)</f>
        <v>40483</v>
      </c>
      <c r="I17" s="22">
        <f>IF(DATA!B43=0,B17,H17+30)</f>
        <v>40512</v>
      </c>
      <c r="J17" s="24">
        <f t="shared" si="0"/>
        <v>30</v>
      </c>
      <c r="K17" s="24">
        <f t="shared" si="4"/>
        <v>19050</v>
      </c>
      <c r="L17" s="24">
        <f t="shared" si="24"/>
        <v>3098</v>
      </c>
      <c r="M17" s="24">
        <f t="shared" si="5"/>
        <v>1905</v>
      </c>
      <c r="N17" s="24" t="str">
        <f t="shared" si="1"/>
        <v>200</v>
      </c>
      <c r="O17" s="24">
        <f t="shared" si="25"/>
        <v>24053</v>
      </c>
      <c r="P17" s="24">
        <f t="shared" si="6"/>
        <v>18520</v>
      </c>
      <c r="Q17" s="24">
        <f t="shared" si="26"/>
        <v>3012</v>
      </c>
      <c r="R17" s="24">
        <f t="shared" si="7"/>
        <v>1852</v>
      </c>
      <c r="S17" s="24">
        <f t="shared" si="8"/>
        <v>200</v>
      </c>
      <c r="T17" s="24">
        <f t="shared" si="9"/>
        <v>23384</v>
      </c>
      <c r="U17" s="24">
        <f t="shared" si="10"/>
        <v>530</v>
      </c>
      <c r="V17" s="24">
        <f t="shared" si="11"/>
        <v>86</v>
      </c>
      <c r="W17" s="24">
        <f t="shared" si="12"/>
        <v>53</v>
      </c>
      <c r="X17" s="24">
        <f t="shared" si="13"/>
        <v>0</v>
      </c>
      <c r="Y17" s="24">
        <f t="shared" si="14"/>
        <v>669</v>
      </c>
      <c r="Z17" s="19" t="str">
        <f t="shared" si="15"/>
        <v>200</v>
      </c>
      <c r="AA17" s="19" t="str">
        <f t="shared" si="16"/>
        <v>200</v>
      </c>
      <c r="AB17" s="24">
        <f t="shared" si="17"/>
        <v>0</v>
      </c>
      <c r="AC17" s="24">
        <f t="shared" si="18"/>
        <v>0</v>
      </c>
      <c r="AD17" s="24">
        <f t="shared" si="19"/>
        <v>0</v>
      </c>
      <c r="AE17" s="24">
        <f t="shared" si="20"/>
        <v>669</v>
      </c>
      <c r="AF17" s="24">
        <f t="shared" si="2"/>
        <v>669</v>
      </c>
      <c r="AG17" s="24">
        <f t="shared" si="21"/>
        <v>0</v>
      </c>
    </row>
    <row r="18" spans="1:33" ht="18.75" customHeight="1">
      <c r="A18" s="1">
        <v>40513</v>
      </c>
      <c r="B18" s="1">
        <v>40543</v>
      </c>
      <c r="C18" s="13">
        <f t="shared" si="22"/>
        <v>2</v>
      </c>
      <c r="D18" s="13">
        <f t="shared" si="23"/>
        <v>10</v>
      </c>
      <c r="E18" s="13">
        <f t="shared" si="3"/>
        <v>12</v>
      </c>
      <c r="F18">
        <f>IF(DATA!C49=12,DATA!B51,F17)</f>
        <v>19050</v>
      </c>
      <c r="G18">
        <f>IF(DATA!C49=12,DATA!B51,G17)</f>
        <v>18520</v>
      </c>
      <c r="H18" s="25">
        <f>IF(DATA!B43=1,"0",A18)</f>
        <v>40513</v>
      </c>
      <c r="I18" s="25">
        <f>IF(DATA!B43=1,"0",B18)</f>
        <v>40543</v>
      </c>
      <c r="J18" s="24">
        <f>IF(DATA!B43=1,I18-H18,(I18-H18)+1)</f>
        <v>31</v>
      </c>
      <c r="K18" s="24">
        <f aca="true" t="shared" si="27" ref="K18:K23">IF(J18=0,0,F18)</f>
        <v>19050</v>
      </c>
      <c r="L18" s="24">
        <f t="shared" si="24"/>
        <v>3098</v>
      </c>
      <c r="M18" s="24">
        <f t="shared" si="5"/>
        <v>1905</v>
      </c>
      <c r="N18" s="24" t="str">
        <f aca="true" t="shared" si="28" ref="N18:N23">IF(J18=0,0,Z18)</f>
        <v>200</v>
      </c>
      <c r="O18" s="24">
        <f t="shared" si="25"/>
        <v>24053</v>
      </c>
      <c r="P18" s="24">
        <f aca="true" t="shared" si="29" ref="P18:P23">IF(J18=0,0,G18)</f>
        <v>18520</v>
      </c>
      <c r="Q18" s="24">
        <f t="shared" si="26"/>
        <v>3012</v>
      </c>
      <c r="R18" s="24">
        <f t="shared" si="7"/>
        <v>1852</v>
      </c>
      <c r="S18" s="301" t="str">
        <f aca="true" t="shared" si="30" ref="S18:S23">IF(J18=0,0,AA18)</f>
        <v>200</v>
      </c>
      <c r="T18" s="24">
        <f t="shared" si="9"/>
        <v>23384</v>
      </c>
      <c r="U18" s="24">
        <f t="shared" si="10"/>
        <v>530</v>
      </c>
      <c r="V18" s="24">
        <f t="shared" si="11"/>
        <v>86</v>
      </c>
      <c r="W18" s="24">
        <f t="shared" si="12"/>
        <v>53</v>
      </c>
      <c r="X18" s="24">
        <f aca="true" t="shared" si="31" ref="X18:X23">IF(J18=0,0,AJ18)</f>
        <v>0</v>
      </c>
      <c r="Y18" s="24">
        <f t="shared" si="14"/>
        <v>669</v>
      </c>
      <c r="Z18" s="19" t="str">
        <f t="shared" si="15"/>
        <v>200</v>
      </c>
      <c r="AA18" s="19" t="str">
        <f t="shared" si="16"/>
        <v>200</v>
      </c>
      <c r="AB18" s="24">
        <f t="shared" si="17"/>
        <v>0</v>
      </c>
      <c r="AC18" s="24">
        <f t="shared" si="18"/>
        <v>0</v>
      </c>
      <c r="AD18" s="24">
        <f t="shared" si="19"/>
        <v>0</v>
      </c>
      <c r="AE18" s="24">
        <f t="shared" si="20"/>
        <v>669</v>
      </c>
      <c r="AF18" s="24">
        <f t="shared" si="2"/>
        <v>669</v>
      </c>
      <c r="AG18" s="24">
        <f t="shared" si="21"/>
        <v>0</v>
      </c>
    </row>
    <row r="19" spans="1:33" ht="18.75" customHeight="1">
      <c r="A19" s="1">
        <v>40544</v>
      </c>
      <c r="B19" s="1">
        <v>40574</v>
      </c>
      <c r="C19" s="13">
        <f t="shared" si="22"/>
        <v>2</v>
      </c>
      <c r="D19" s="13">
        <f t="shared" si="23"/>
        <v>10</v>
      </c>
      <c r="E19" s="13">
        <f t="shared" si="3"/>
        <v>12</v>
      </c>
      <c r="F19">
        <f>IF(DATA!C49=1,DATA!B51,F18)</f>
        <v>19050</v>
      </c>
      <c r="G19">
        <f>IF(DATA!C49=1,DATA!B51,G18)</f>
        <v>18520</v>
      </c>
      <c r="H19" s="25">
        <f>IF(DATA!B43=1,"0",A19)</f>
        <v>40544</v>
      </c>
      <c r="I19" s="25">
        <f>IF(DATA!B43=1,"0",B19)</f>
        <v>40574</v>
      </c>
      <c r="J19" s="24">
        <f>IF(DATA!B43=1,I19-H19,(I19-H19)+1)</f>
        <v>31</v>
      </c>
      <c r="K19" s="24">
        <f t="shared" si="27"/>
        <v>19050</v>
      </c>
      <c r="L19" s="24">
        <f>ROUND(K19*24.824%,0)</f>
        <v>4729</v>
      </c>
      <c r="M19" s="24">
        <f t="shared" si="5"/>
        <v>1905</v>
      </c>
      <c r="N19" s="24" t="str">
        <f t="shared" si="28"/>
        <v>200</v>
      </c>
      <c r="O19" s="24">
        <f t="shared" si="25"/>
        <v>25684</v>
      </c>
      <c r="P19" s="24">
        <f t="shared" si="29"/>
        <v>18520</v>
      </c>
      <c r="Q19" s="24">
        <f>ROUND(P19*24.824%,0)</f>
        <v>4597</v>
      </c>
      <c r="R19" s="24">
        <f t="shared" si="7"/>
        <v>1852</v>
      </c>
      <c r="S19" s="301" t="str">
        <f t="shared" si="30"/>
        <v>200</v>
      </c>
      <c r="T19" s="24">
        <f t="shared" si="9"/>
        <v>24969</v>
      </c>
      <c r="U19" s="24">
        <f t="shared" si="10"/>
        <v>530</v>
      </c>
      <c r="V19" s="24">
        <f t="shared" si="11"/>
        <v>132</v>
      </c>
      <c r="W19" s="24">
        <f t="shared" si="12"/>
        <v>53</v>
      </c>
      <c r="X19" s="24">
        <f t="shared" si="31"/>
        <v>0</v>
      </c>
      <c r="Y19" s="24">
        <f t="shared" si="14"/>
        <v>715</v>
      </c>
      <c r="Z19" s="19" t="str">
        <f t="shared" si="15"/>
        <v>200</v>
      </c>
      <c r="AA19" s="19" t="str">
        <f t="shared" si="16"/>
        <v>200</v>
      </c>
      <c r="AB19" s="24">
        <f t="shared" si="17"/>
        <v>0</v>
      </c>
      <c r="AC19" s="24">
        <f t="shared" si="18"/>
        <v>0</v>
      </c>
      <c r="AD19" s="24">
        <f t="shared" si="19"/>
        <v>0</v>
      </c>
      <c r="AE19" s="24">
        <f t="shared" si="20"/>
        <v>715</v>
      </c>
      <c r="AF19" s="24">
        <f t="shared" si="2"/>
        <v>715</v>
      </c>
      <c r="AG19" s="24">
        <f t="shared" si="21"/>
        <v>0</v>
      </c>
    </row>
    <row r="20" spans="1:33" ht="18.75" customHeight="1">
      <c r="A20" s="1">
        <v>40575</v>
      </c>
      <c r="B20" s="1">
        <v>40602</v>
      </c>
      <c r="C20" s="13">
        <f t="shared" si="22"/>
        <v>2</v>
      </c>
      <c r="D20" s="13">
        <f t="shared" si="23"/>
        <v>10</v>
      </c>
      <c r="E20" s="13">
        <f t="shared" si="3"/>
        <v>12</v>
      </c>
      <c r="F20">
        <f>IF(DATA!C50=2,DATA!B52,F19)</f>
        <v>20110</v>
      </c>
      <c r="G20">
        <f>IF(DATA!C49=2,DATA!B51,G19)</f>
        <v>19580</v>
      </c>
      <c r="H20" s="25">
        <f>IF(DATA!B43=1,"0",A20)</f>
        <v>40575</v>
      </c>
      <c r="I20" s="25">
        <f>IF(DATA!B43=1,"0",B20)</f>
        <v>40602</v>
      </c>
      <c r="J20" s="24">
        <f>IF(DATA!B43=1,I20-H20,(I20-H20)+1)</f>
        <v>28</v>
      </c>
      <c r="K20" s="24">
        <f t="shared" si="27"/>
        <v>20110</v>
      </c>
      <c r="L20" s="27">
        <f>ROUND(K20*29.96%,0)</f>
        <v>6025</v>
      </c>
      <c r="M20" s="24">
        <f t="shared" si="5"/>
        <v>2011</v>
      </c>
      <c r="N20" s="24" t="str">
        <f t="shared" si="28"/>
        <v>200</v>
      </c>
      <c r="O20" s="24">
        <f t="shared" si="25"/>
        <v>28146</v>
      </c>
      <c r="P20" s="24">
        <f t="shared" si="29"/>
        <v>19580</v>
      </c>
      <c r="Q20" s="24">
        <f>ROUND(P20*29.96%,0)</f>
        <v>5866</v>
      </c>
      <c r="R20" s="24">
        <f t="shared" si="7"/>
        <v>1958</v>
      </c>
      <c r="S20" s="301" t="str">
        <f t="shared" si="30"/>
        <v>200</v>
      </c>
      <c r="T20" s="24">
        <f t="shared" si="9"/>
        <v>27404</v>
      </c>
      <c r="U20" s="24">
        <f t="shared" si="10"/>
        <v>530</v>
      </c>
      <c r="V20" s="24">
        <f t="shared" si="11"/>
        <v>159</v>
      </c>
      <c r="W20" s="24">
        <f t="shared" si="12"/>
        <v>53</v>
      </c>
      <c r="X20" s="24">
        <f t="shared" si="31"/>
        <v>0</v>
      </c>
      <c r="Y20" s="24">
        <f t="shared" si="14"/>
        <v>742</v>
      </c>
      <c r="Z20" s="19" t="str">
        <f t="shared" si="15"/>
        <v>200</v>
      </c>
      <c r="AA20" s="19" t="str">
        <f t="shared" si="16"/>
        <v>200</v>
      </c>
      <c r="AB20" s="24">
        <f t="shared" si="17"/>
        <v>0</v>
      </c>
      <c r="AC20" s="24">
        <f t="shared" si="18"/>
        <v>0</v>
      </c>
      <c r="AD20" s="24">
        <f t="shared" si="19"/>
        <v>0</v>
      </c>
      <c r="AE20" s="24">
        <f t="shared" si="20"/>
        <v>742</v>
      </c>
      <c r="AF20" s="24">
        <f t="shared" si="2"/>
        <v>742</v>
      </c>
      <c r="AG20" s="24">
        <f t="shared" si="21"/>
        <v>0</v>
      </c>
    </row>
    <row r="21" spans="1:33" ht="18.75" customHeight="1">
      <c r="A21" s="1">
        <v>40603</v>
      </c>
      <c r="B21" s="1">
        <v>40633</v>
      </c>
      <c r="C21" s="13">
        <f t="shared" si="22"/>
        <v>2</v>
      </c>
      <c r="D21" s="13">
        <f t="shared" si="23"/>
        <v>10</v>
      </c>
      <c r="E21" s="13">
        <f t="shared" si="3"/>
        <v>12</v>
      </c>
      <c r="F21">
        <f>IF(DATA!C50=3,DATA!B52,F20)</f>
        <v>20110</v>
      </c>
      <c r="G21">
        <f>IF(DATA!C49=3,DATA!B51,G20)</f>
        <v>19580</v>
      </c>
      <c r="H21" s="25">
        <f>IF(DATA!B43=1,"0",A21)</f>
        <v>40603</v>
      </c>
      <c r="I21" s="25">
        <f>IF(DATA!B43=1,"0",B21)</f>
        <v>40633</v>
      </c>
      <c r="J21" s="24">
        <f>IF(DATA!B43=1,I21-H21,(I21-H21)+1)</f>
        <v>31</v>
      </c>
      <c r="K21" s="24">
        <f t="shared" si="27"/>
        <v>20110</v>
      </c>
      <c r="L21" s="27">
        <f>ROUND(K21*29.96%,0)</f>
        <v>6025</v>
      </c>
      <c r="M21" s="24">
        <f t="shared" si="5"/>
        <v>2011</v>
      </c>
      <c r="N21" s="24" t="str">
        <f t="shared" si="28"/>
        <v>200</v>
      </c>
      <c r="O21" s="24">
        <f t="shared" si="25"/>
        <v>28146</v>
      </c>
      <c r="P21" s="24">
        <f t="shared" si="29"/>
        <v>19580</v>
      </c>
      <c r="Q21" s="24">
        <f>ROUND(P21*29.96%,0)</f>
        <v>5866</v>
      </c>
      <c r="R21" s="24">
        <f t="shared" si="7"/>
        <v>1958</v>
      </c>
      <c r="S21" s="301" t="str">
        <f t="shared" si="30"/>
        <v>200</v>
      </c>
      <c r="T21" s="24">
        <f t="shared" si="9"/>
        <v>27404</v>
      </c>
      <c r="U21" s="24">
        <f t="shared" si="10"/>
        <v>530</v>
      </c>
      <c r="V21" s="24">
        <f t="shared" si="11"/>
        <v>159</v>
      </c>
      <c r="W21" s="24">
        <f t="shared" si="12"/>
        <v>53</v>
      </c>
      <c r="X21" s="24">
        <f t="shared" si="31"/>
        <v>0</v>
      </c>
      <c r="Y21" s="24">
        <f t="shared" si="14"/>
        <v>742</v>
      </c>
      <c r="Z21" s="19" t="str">
        <f t="shared" si="15"/>
        <v>200</v>
      </c>
      <c r="AA21" s="19" t="str">
        <f t="shared" si="16"/>
        <v>200</v>
      </c>
      <c r="AB21" s="24">
        <f t="shared" si="17"/>
        <v>0</v>
      </c>
      <c r="AC21" s="24">
        <f t="shared" si="18"/>
        <v>0</v>
      </c>
      <c r="AD21" s="24">
        <f t="shared" si="19"/>
        <v>0</v>
      </c>
      <c r="AE21" s="24">
        <f t="shared" si="20"/>
        <v>742</v>
      </c>
      <c r="AF21" s="24">
        <f t="shared" si="2"/>
        <v>742</v>
      </c>
      <c r="AG21" s="24">
        <f t="shared" si="21"/>
        <v>0</v>
      </c>
    </row>
    <row r="22" spans="1:33" ht="18.75" customHeight="1">
      <c r="A22" s="1">
        <v>40634</v>
      </c>
      <c r="B22" s="1">
        <v>40663</v>
      </c>
      <c r="C22" s="13">
        <f t="shared" si="22"/>
        <v>2</v>
      </c>
      <c r="D22" s="13">
        <f t="shared" si="23"/>
        <v>10</v>
      </c>
      <c r="E22" s="13">
        <f t="shared" si="3"/>
        <v>12</v>
      </c>
      <c r="F22">
        <f>IF(DATA!C50=4,DATA!B52,F21)</f>
        <v>20110</v>
      </c>
      <c r="G22">
        <f>IF(DATA!C49=4,DATA!B51,G21)</f>
        <v>19580</v>
      </c>
      <c r="H22" s="25">
        <f>IF(DATA!B43=1,"0",A22)</f>
        <v>40634</v>
      </c>
      <c r="I22" s="25">
        <f>IF(DATA!B43=1,"0",B22)</f>
        <v>40663</v>
      </c>
      <c r="J22" s="24">
        <f>IF(DATA!B43=1,I22-H22,(I22-H22)+1)</f>
        <v>30</v>
      </c>
      <c r="K22" s="24">
        <f t="shared" si="27"/>
        <v>20110</v>
      </c>
      <c r="L22" s="27">
        <f>ROUND(K22*29.96%,0)</f>
        <v>6025</v>
      </c>
      <c r="M22" s="24">
        <f>ROUND(K22*E22%,0)</f>
        <v>2413</v>
      </c>
      <c r="N22" s="24" t="str">
        <f t="shared" si="28"/>
        <v>200</v>
      </c>
      <c r="O22" s="24">
        <f t="shared" si="25"/>
        <v>28548</v>
      </c>
      <c r="P22" s="24">
        <f t="shared" si="29"/>
        <v>19580</v>
      </c>
      <c r="Q22" s="24">
        <f>ROUND(P22*29.96%,0)</f>
        <v>5866</v>
      </c>
      <c r="R22" s="24">
        <f>ROUND(P22*E22%,0)</f>
        <v>2350</v>
      </c>
      <c r="S22" s="301" t="str">
        <f t="shared" si="30"/>
        <v>200</v>
      </c>
      <c r="T22" s="24">
        <f t="shared" si="9"/>
        <v>27796</v>
      </c>
      <c r="U22" s="24">
        <f t="shared" si="10"/>
        <v>530</v>
      </c>
      <c r="V22" s="24">
        <f t="shared" si="11"/>
        <v>159</v>
      </c>
      <c r="W22" s="24">
        <f t="shared" si="12"/>
        <v>63</v>
      </c>
      <c r="X22" s="24">
        <f t="shared" si="31"/>
        <v>0</v>
      </c>
      <c r="Y22" s="24">
        <f t="shared" si="14"/>
        <v>752</v>
      </c>
      <c r="Z22" s="19" t="str">
        <f t="shared" si="15"/>
        <v>200</v>
      </c>
      <c r="AA22" s="19" t="str">
        <f t="shared" si="16"/>
        <v>200</v>
      </c>
      <c r="AB22" s="24">
        <f t="shared" si="17"/>
        <v>0</v>
      </c>
      <c r="AC22" s="24">
        <f t="shared" si="18"/>
        <v>0</v>
      </c>
      <c r="AD22" s="24">
        <f t="shared" si="19"/>
        <v>0</v>
      </c>
      <c r="AE22" s="24">
        <f t="shared" si="20"/>
        <v>752</v>
      </c>
      <c r="AF22" s="24">
        <f t="shared" si="2"/>
        <v>752</v>
      </c>
      <c r="AG22" s="24">
        <f t="shared" si="21"/>
        <v>0</v>
      </c>
    </row>
    <row r="23" spans="1:33" ht="18.75" customHeight="1">
      <c r="A23" s="1">
        <v>40664</v>
      </c>
      <c r="B23" s="1">
        <v>40694</v>
      </c>
      <c r="C23" s="13">
        <f t="shared" si="22"/>
        <v>2</v>
      </c>
      <c r="D23" s="13">
        <f t="shared" si="23"/>
        <v>10</v>
      </c>
      <c r="E23" s="13">
        <f t="shared" si="3"/>
        <v>12</v>
      </c>
      <c r="F23">
        <f>IF(DATA!C50=5,DATA!B52,F22)</f>
        <v>20110</v>
      </c>
      <c r="G23">
        <f>IF(DATA!C49=5,DATA!B51,G22)</f>
        <v>19580</v>
      </c>
      <c r="H23" s="26">
        <f>IF(DATA!B43=1,"0",A23)</f>
        <v>40664</v>
      </c>
      <c r="I23" s="26">
        <f>IF(DATA!B43=1,"0",B23)</f>
        <v>40694</v>
      </c>
      <c r="J23" s="27">
        <f>IF(DATA!B43=1,I23-H23,(I23-H23)+1)</f>
        <v>31</v>
      </c>
      <c r="K23" s="24">
        <f t="shared" si="27"/>
        <v>20110</v>
      </c>
      <c r="L23" s="27">
        <f>ROUND(K23*29.96%,0)</f>
        <v>6025</v>
      </c>
      <c r="M23" s="27">
        <f>ROUND(K23*E23%,0)</f>
        <v>2413</v>
      </c>
      <c r="N23" s="24" t="str">
        <f t="shared" si="28"/>
        <v>200</v>
      </c>
      <c r="O23" s="27">
        <f t="shared" si="25"/>
        <v>28548</v>
      </c>
      <c r="P23" s="24">
        <f t="shared" si="29"/>
        <v>19580</v>
      </c>
      <c r="Q23" s="24">
        <f>ROUND(P23*29.96%,0)</f>
        <v>5866</v>
      </c>
      <c r="R23" s="27">
        <f>ROUND(P23*E23%,0)</f>
        <v>2350</v>
      </c>
      <c r="S23" s="301" t="str">
        <f t="shared" si="30"/>
        <v>200</v>
      </c>
      <c r="T23" s="27">
        <f t="shared" si="9"/>
        <v>27796</v>
      </c>
      <c r="U23" s="24">
        <f t="shared" si="10"/>
        <v>530</v>
      </c>
      <c r="V23" s="27">
        <f t="shared" si="11"/>
        <v>159</v>
      </c>
      <c r="W23" s="27">
        <f t="shared" si="12"/>
        <v>63</v>
      </c>
      <c r="X23" s="24">
        <f t="shared" si="31"/>
        <v>0</v>
      </c>
      <c r="Y23" s="24">
        <f t="shared" si="14"/>
        <v>752</v>
      </c>
      <c r="Z23" s="28" t="str">
        <f t="shared" si="15"/>
        <v>200</v>
      </c>
      <c r="AA23" s="28" t="str">
        <f t="shared" si="16"/>
        <v>200</v>
      </c>
      <c r="AB23" s="27">
        <f t="shared" si="17"/>
        <v>0</v>
      </c>
      <c r="AC23" s="24">
        <f>IF(C23=3,ROUND(Y23*90%,0)-AB23,0)</f>
        <v>0</v>
      </c>
      <c r="AD23" s="24">
        <f t="shared" si="19"/>
        <v>0</v>
      </c>
      <c r="AE23" s="24">
        <f t="shared" si="20"/>
        <v>752</v>
      </c>
      <c r="AF23" s="24">
        <f t="shared" si="2"/>
        <v>752</v>
      </c>
      <c r="AG23" s="24">
        <f t="shared" si="21"/>
        <v>0</v>
      </c>
    </row>
    <row r="24" spans="1:33" ht="17.25" customHeight="1">
      <c r="A24" s="337" t="s">
        <v>107</v>
      </c>
      <c r="B24" s="337"/>
      <c r="C24" s="337"/>
      <c r="D24" s="337"/>
      <c r="E24" s="337"/>
      <c r="F24" s="337"/>
      <c r="G24" s="337"/>
      <c r="H24" s="337"/>
      <c r="I24" s="337"/>
      <c r="J24" s="337"/>
      <c r="K24" s="24">
        <f>SUM(K8:K23)</f>
        <v>309040</v>
      </c>
      <c r="L24" s="24">
        <f aca="true" t="shared" si="32" ref="L24:T24">SUM(L8:L23)</f>
        <v>56387</v>
      </c>
      <c r="M24" s="24">
        <f t="shared" si="32"/>
        <v>31708</v>
      </c>
      <c r="N24" s="24">
        <f>N8+N9+N10+N11+N12+N13+N14+N15+N16+N17+N18+N19+N20+N21+N22+N23</f>
        <v>3200</v>
      </c>
      <c r="O24" s="24">
        <f t="shared" si="32"/>
        <v>397135</v>
      </c>
      <c r="P24" s="24">
        <f t="shared" si="32"/>
        <v>300560</v>
      </c>
      <c r="Q24" s="24">
        <f t="shared" si="32"/>
        <v>54853</v>
      </c>
      <c r="R24" s="24">
        <f t="shared" si="32"/>
        <v>30840</v>
      </c>
      <c r="S24" s="24">
        <f>S8+S9+S10+S11+S12+S13+S14+S15+S16+S17+S18+S19+S20+S21+S22+S23</f>
        <v>3200</v>
      </c>
      <c r="T24" s="24">
        <f t="shared" si="32"/>
        <v>386253</v>
      </c>
      <c r="U24" s="24">
        <f t="shared" si="10"/>
        <v>8480</v>
      </c>
      <c r="V24" s="24">
        <f>SUM(V8:V23)</f>
        <v>1534</v>
      </c>
      <c r="W24" s="24">
        <f>SUM(W8:W23)</f>
        <v>868</v>
      </c>
      <c r="X24" s="24">
        <f>SUM(X8:X23)</f>
        <v>0</v>
      </c>
      <c r="Y24" s="24">
        <f t="shared" si="14"/>
        <v>10882</v>
      </c>
      <c r="Z24" s="19" t="str">
        <f t="shared" si="15"/>
        <v>200</v>
      </c>
      <c r="AA24" s="19" t="str">
        <f t="shared" si="16"/>
        <v>200</v>
      </c>
      <c r="AB24" s="24">
        <f>AB8+AB9+AB10+AB11+AB12+AB13+AB14+AB15+AB16+AB17+AB18+AB19+AB20+AB21+AB22+AB23</f>
        <v>0</v>
      </c>
      <c r="AC24" s="24">
        <f>AC8+AC9+AC10+AC11+AC12+AC13+AC14+AC15+AC16+AC17+AC18+AC19+AC20+AC21+AC22+AC23</f>
        <v>0</v>
      </c>
      <c r="AD24" s="24">
        <f>AD8+AD9+AD10+AD11+AD12+AD13+AD14+AD15+AD16+AD17+AD18+AD19+AD20+AD21+AD22+AD23</f>
        <v>0</v>
      </c>
      <c r="AE24" s="24">
        <f>SUM(AE8:AE23)</f>
        <v>10882</v>
      </c>
      <c r="AF24" s="24">
        <f>SUM(AF8:AF23)</f>
        <v>10882</v>
      </c>
      <c r="AG24" s="24">
        <f>SUM(AG8:AG23)</f>
        <v>0</v>
      </c>
    </row>
    <row r="25" spans="1:27" ht="14.25">
      <c r="A25" s="1"/>
      <c r="B25" s="1"/>
      <c r="C25" s="1"/>
      <c r="D25" s="1"/>
      <c r="E25" s="1"/>
      <c r="H25" s="338" t="s">
        <v>117</v>
      </c>
      <c r="I25" s="338"/>
      <c r="J25" s="338"/>
      <c r="K25" s="338"/>
      <c r="L25" s="338"/>
      <c r="M25" s="338"/>
      <c r="N25" s="338"/>
      <c r="O25" s="338"/>
      <c r="P25" s="338"/>
      <c r="Q25" s="338"/>
      <c r="R25" s="338"/>
      <c r="S25" s="338"/>
      <c r="T25" s="338"/>
      <c r="U25" s="338"/>
      <c r="V25" s="338"/>
      <c r="W25" s="338"/>
      <c r="X25" s="338"/>
      <c r="Y25" s="338"/>
      <c r="Z25" s="18"/>
      <c r="AA25" s="18"/>
    </row>
    <row r="26" spans="1:33" ht="23.25" customHeight="1">
      <c r="A26" s="1">
        <v>40695</v>
      </c>
      <c r="B26" s="1">
        <v>40724</v>
      </c>
      <c r="C26" s="13">
        <f>C23</f>
        <v>2</v>
      </c>
      <c r="D26" s="13">
        <f>DATA!B7</f>
        <v>10</v>
      </c>
      <c r="E26" s="13">
        <f>IF(D26=10,12,IF(D26=12.5,14.5,22))</f>
        <v>12</v>
      </c>
      <c r="F26">
        <f>IF(DATA!C50=6,DATA!B52,F23)</f>
        <v>20110</v>
      </c>
      <c r="G26">
        <f>IF(DATA!C49=6,DATA!B51,G23)</f>
        <v>19580</v>
      </c>
      <c r="H26" s="23">
        <f>A26</f>
        <v>40695</v>
      </c>
      <c r="I26" s="23">
        <f>B26</f>
        <v>40724</v>
      </c>
      <c r="J26" s="24">
        <f>(I26-H26)+1</f>
        <v>30</v>
      </c>
      <c r="K26" s="24">
        <f>F26</f>
        <v>20110</v>
      </c>
      <c r="L26" s="27">
        <f>ROUND(K26*29.96%,0)</f>
        <v>6025</v>
      </c>
      <c r="M26" s="27">
        <f>ROUND(K26*E26%,0)</f>
        <v>2413</v>
      </c>
      <c r="N26" s="19" t="str">
        <f>IF(O26=0,0,Z26)</f>
        <v>200</v>
      </c>
      <c r="O26" s="24">
        <f>SUM(K26:M26)</f>
        <v>28548</v>
      </c>
      <c r="P26" s="24">
        <f>G26</f>
        <v>19580</v>
      </c>
      <c r="Q26" s="24">
        <f>ROUND(P26*29.96%,0)</f>
        <v>5866</v>
      </c>
      <c r="R26" s="27">
        <f>ROUND(P26*E26%,0)</f>
        <v>2350</v>
      </c>
      <c r="S26" s="19" t="str">
        <f>IF(T26=0,0,AA26)</f>
        <v>200</v>
      </c>
      <c r="T26" s="24">
        <f>SUM(P26:R26)</f>
        <v>27796</v>
      </c>
      <c r="U26" s="27">
        <f aca="true" t="shared" si="33" ref="U26:W30">K26-P26</f>
        <v>530</v>
      </c>
      <c r="V26" s="27">
        <f t="shared" si="33"/>
        <v>159</v>
      </c>
      <c r="W26" s="27">
        <f t="shared" si="33"/>
        <v>63</v>
      </c>
      <c r="X26" s="24">
        <f>AB26</f>
        <v>0</v>
      </c>
      <c r="Y26" s="27">
        <f>SUM(U26:W26)</f>
        <v>752</v>
      </c>
      <c r="Z26" s="28" t="str">
        <f>IF(O26&gt;=20000,"200",IF(O26&gt;=15000,"150",IF(O26&gt;=10000,"100","80")))</f>
        <v>200</v>
      </c>
      <c r="AA26" s="28" t="str">
        <f>IF(T26&gt;=20000,"200",IF(T26&gt;=15000,"150",IF(T26&gt;=10000,"100","80")))</f>
        <v>200</v>
      </c>
      <c r="AB26" s="27">
        <f>Z26-AA26</f>
        <v>0</v>
      </c>
      <c r="AC26" s="24">
        <v>0</v>
      </c>
      <c r="AD26" s="24">
        <v>0</v>
      </c>
      <c r="AE26" s="24">
        <f>IF(C26&lt;3,Y26-AB26,0)</f>
        <v>752</v>
      </c>
      <c r="AF26" s="24">
        <v>0</v>
      </c>
      <c r="AG26" s="24">
        <f>Y26-AF26</f>
        <v>752</v>
      </c>
    </row>
    <row r="27" spans="1:33" ht="23.25" customHeight="1">
      <c r="A27" s="1">
        <v>40725</v>
      </c>
      <c r="B27" s="1">
        <v>40755</v>
      </c>
      <c r="C27" s="13">
        <f aca="true" t="shared" si="34" ref="C27:D30">C26</f>
        <v>2</v>
      </c>
      <c r="D27" s="13">
        <f t="shared" si="34"/>
        <v>10</v>
      </c>
      <c r="E27" s="13">
        <f>IF(D27=10,12,IF(D27=12.5,14.5,22))</f>
        <v>12</v>
      </c>
      <c r="F27">
        <f>IF(DATA!C50=7,DATA!B52,F26)</f>
        <v>20110</v>
      </c>
      <c r="G27">
        <f>IF(DATA!C49=7,DATA!B51,G26)</f>
        <v>19580</v>
      </c>
      <c r="H27" s="23" t="str">
        <f>IF(DATA!B53&gt;6,"01-07-2011","0")</f>
        <v>01-07-2011</v>
      </c>
      <c r="I27" s="23" t="str">
        <f>IF(DATA!B53&gt;6,"31-07-2011","0")</f>
        <v>31-07-2011</v>
      </c>
      <c r="J27" s="24">
        <f>IF(DATA!B53&gt;7,(Bill!I27-Bill!H27)+1,0)</f>
        <v>0</v>
      </c>
      <c r="K27" s="24">
        <f>IF(DATA!B53&gt;6,Bill!F27,0)</f>
        <v>20110</v>
      </c>
      <c r="L27" s="27">
        <f>ROUND(K27*29.96%,0)</f>
        <v>6025</v>
      </c>
      <c r="M27" s="27">
        <f>ROUND(K27*E27%,0)</f>
        <v>2413</v>
      </c>
      <c r="N27" s="19" t="str">
        <f>IF(O27=0,0,Z27)</f>
        <v>200</v>
      </c>
      <c r="O27" s="24">
        <f>SUM(K27:M27)</f>
        <v>28548</v>
      </c>
      <c r="P27" s="24">
        <f>IF(DATA!B53&gt;6,Bill!G27,0)</f>
        <v>19580</v>
      </c>
      <c r="Q27" s="24">
        <f>ROUND(P27*29.96%,0)</f>
        <v>5866</v>
      </c>
      <c r="R27" s="27">
        <f>ROUND(P27*E27%,0)</f>
        <v>2350</v>
      </c>
      <c r="S27" s="19" t="str">
        <f>IF(T27=0,0,AA27)</f>
        <v>200</v>
      </c>
      <c r="T27" s="24">
        <f>SUM(P27:R27)</f>
        <v>27796</v>
      </c>
      <c r="U27" s="27">
        <f t="shared" si="33"/>
        <v>530</v>
      </c>
      <c r="V27" s="27">
        <f t="shared" si="33"/>
        <v>159</v>
      </c>
      <c r="W27" s="27">
        <f t="shared" si="33"/>
        <v>63</v>
      </c>
      <c r="X27" s="24">
        <f>AB27</f>
        <v>0</v>
      </c>
      <c r="Y27" s="27">
        <f>SUM(U27:W27)</f>
        <v>752</v>
      </c>
      <c r="Z27" s="28" t="str">
        <f>IF(O27&gt;=20000,"200",IF(O27&gt;=15000,"150",IF(O27&gt;=10000,"100","80")))</f>
        <v>200</v>
      </c>
      <c r="AA27" s="28" t="str">
        <f>IF(T27&gt;=20000,"200",IF(T27&gt;=15000,"150",IF(T27&gt;=10000,"100","80")))</f>
        <v>200</v>
      </c>
      <c r="AB27" s="27">
        <f>Z27-AA27</f>
        <v>0</v>
      </c>
      <c r="AC27" s="24">
        <v>0</v>
      </c>
      <c r="AD27" s="24">
        <v>0</v>
      </c>
      <c r="AE27" s="24">
        <f>IF(C27&lt;3,Y27-AB27,0)</f>
        <v>752</v>
      </c>
      <c r="AF27" s="24">
        <v>0</v>
      </c>
      <c r="AG27" s="24">
        <f>Y27-AF27</f>
        <v>752</v>
      </c>
    </row>
    <row r="28" spans="3:33" ht="23.25" customHeight="1">
      <c r="C28" s="13">
        <f t="shared" si="34"/>
        <v>2</v>
      </c>
      <c r="D28">
        <f t="shared" si="34"/>
        <v>10</v>
      </c>
      <c r="E28" s="13">
        <f>IF(D28=10,12,IF(D28=12.5,14.5,22))</f>
        <v>12</v>
      </c>
      <c r="F28">
        <f>IF(DATA!C50=8,DATA!B52,F27)</f>
        <v>20110</v>
      </c>
      <c r="G28">
        <f>IF(DATA!C49=8,DATA!B51,G27)</f>
        <v>19580</v>
      </c>
      <c r="H28" s="19" t="str">
        <f>IF(DATA!B53&gt;7,"01-08-2011","0")</f>
        <v>0</v>
      </c>
      <c r="I28" s="23" t="str">
        <f>IF(DATA!B53&gt;7,"31-08-2011","0")</f>
        <v>0</v>
      </c>
      <c r="J28" s="24">
        <f>IF(DATA!B53&gt;7,(Bill!I28-Bill!H28)+1,0)</f>
        <v>0</v>
      </c>
      <c r="K28" s="24">
        <f>IF(DATA!B53&gt;7,Bill!F28,0)</f>
        <v>0</v>
      </c>
      <c r="L28" s="27">
        <f>ROUND(K28*29.96%,0)</f>
        <v>0</v>
      </c>
      <c r="M28" s="27">
        <f>ROUND(K28*E28%,0)</f>
        <v>0</v>
      </c>
      <c r="N28" s="19">
        <f>IF(O28=0,0,Z28)</f>
        <v>0</v>
      </c>
      <c r="O28" s="24">
        <f>SUM(K28:M28)</f>
        <v>0</v>
      </c>
      <c r="P28" s="24">
        <f>IF(DATA!B53&gt;7,Bill!G28,0)</f>
        <v>0</v>
      </c>
      <c r="Q28" s="24">
        <f>ROUND(P28*29.96%,0)</f>
        <v>0</v>
      </c>
      <c r="R28" s="27">
        <f>ROUND(P28*E28%,0)</f>
        <v>0</v>
      </c>
      <c r="S28" s="19">
        <f>IF(T28=0,0,AA28)</f>
        <v>0</v>
      </c>
      <c r="T28" s="24">
        <f>SUM(P28:R28)</f>
        <v>0</v>
      </c>
      <c r="U28" s="27">
        <f t="shared" si="33"/>
        <v>0</v>
      </c>
      <c r="V28" s="27">
        <f t="shared" si="33"/>
        <v>0</v>
      </c>
      <c r="W28" s="27">
        <f t="shared" si="33"/>
        <v>0</v>
      </c>
      <c r="X28" s="24">
        <f>AB28</f>
        <v>0</v>
      </c>
      <c r="Y28" s="27">
        <f>SUM(U28:W28)</f>
        <v>0</v>
      </c>
      <c r="Z28" s="28" t="str">
        <f>IF(O28&gt;=20000,"200",IF(O28&gt;=15000,"150",IF(O28&gt;=10000,"100","80")))</f>
        <v>80</v>
      </c>
      <c r="AA28" s="28" t="str">
        <f>IF(T28&gt;=20000,"200",IF(T28&gt;=15000,"150",IF(T28&gt;=10000,"100","80")))</f>
        <v>80</v>
      </c>
      <c r="AB28" s="27">
        <f>Z28-AA28</f>
        <v>0</v>
      </c>
      <c r="AC28" s="24">
        <v>0</v>
      </c>
      <c r="AD28" s="24">
        <v>0</v>
      </c>
      <c r="AE28" s="24">
        <f>IF(C28&lt;3,Y28-AB28,0)</f>
        <v>0</v>
      </c>
      <c r="AF28" s="24">
        <v>0</v>
      </c>
      <c r="AG28" s="24">
        <f>Y28-AF28</f>
        <v>0</v>
      </c>
    </row>
    <row r="29" spans="3:33" ht="23.25" customHeight="1">
      <c r="C29" s="13">
        <f t="shared" si="34"/>
        <v>2</v>
      </c>
      <c r="D29">
        <f t="shared" si="34"/>
        <v>10</v>
      </c>
      <c r="E29" s="13">
        <f>IF(D29=10,12,IF(D29=12.5,14.5,22))</f>
        <v>12</v>
      </c>
      <c r="F29">
        <f>IF(DATA!C50=9,DATA!B52,F28)</f>
        <v>20110</v>
      </c>
      <c r="G29">
        <f>IF(DATA!C49=9,DATA!B51,G28)</f>
        <v>19580</v>
      </c>
      <c r="H29" s="19" t="str">
        <f>IF(DATA!B53&gt;8,"01-09-2011","0")</f>
        <v>0</v>
      </c>
      <c r="I29" s="23" t="str">
        <f>IF(DATA!B53&gt;8,"30-09-2011","0")</f>
        <v>0</v>
      </c>
      <c r="J29" s="24">
        <f>IF(DATA!B53&gt;8,(Bill!I29-Bill!H29)+1,0)</f>
        <v>0</v>
      </c>
      <c r="K29" s="24">
        <f>IF(DATA!B53&gt;8,Bill!F29,0)</f>
        <v>0</v>
      </c>
      <c r="L29" s="27">
        <f>ROUND(K29*29.96%,0)</f>
        <v>0</v>
      </c>
      <c r="M29" s="27">
        <f>ROUND(K29*E29%,0)</f>
        <v>0</v>
      </c>
      <c r="N29" s="19">
        <f>IF(O29=0,0,Z29)</f>
        <v>0</v>
      </c>
      <c r="O29" s="24">
        <f>SUM(K29:M29)</f>
        <v>0</v>
      </c>
      <c r="P29" s="24">
        <f>IF(DATA!B53&gt;8,Bill!G28,0)</f>
        <v>0</v>
      </c>
      <c r="Q29" s="24">
        <f>ROUND(P29*29.96%,0)</f>
        <v>0</v>
      </c>
      <c r="R29" s="27">
        <f>ROUND(P29*E29%,0)</f>
        <v>0</v>
      </c>
      <c r="S29" s="19">
        <f>IF(T29=0,0,AA29)</f>
        <v>0</v>
      </c>
      <c r="T29" s="24">
        <f>SUM(P29:R29)</f>
        <v>0</v>
      </c>
      <c r="U29" s="27">
        <f t="shared" si="33"/>
        <v>0</v>
      </c>
      <c r="V29" s="27">
        <f t="shared" si="33"/>
        <v>0</v>
      </c>
      <c r="W29" s="27">
        <f t="shared" si="33"/>
        <v>0</v>
      </c>
      <c r="X29" s="301">
        <f>IF(Y29=0,0,AF29)</f>
        <v>0</v>
      </c>
      <c r="Y29" s="27">
        <f>SUM(U29:W29)</f>
        <v>0</v>
      </c>
      <c r="Z29" s="28" t="str">
        <f>IF(O29&gt;=20000,"200",IF(O29&gt;=15000,"150",IF(O29&gt;=10000,"100","80")))</f>
        <v>80</v>
      </c>
      <c r="AA29" s="28" t="str">
        <f>IF(T29&gt;=20000,"200",IF(T29&gt;=15000,"150",IF(T29&gt;=10000,"100","80")))</f>
        <v>80</v>
      </c>
      <c r="AB29" s="27">
        <f>Z29-AA29</f>
        <v>0</v>
      </c>
      <c r="AC29" s="24">
        <v>0</v>
      </c>
      <c r="AD29" s="24">
        <v>0</v>
      </c>
      <c r="AE29" s="24">
        <f>IF(C29&lt;3,Y29-AB29,0)</f>
        <v>0</v>
      </c>
      <c r="AF29" s="24">
        <v>0</v>
      </c>
      <c r="AG29" s="24">
        <f>Y29-AF29</f>
        <v>0</v>
      </c>
    </row>
    <row r="30" spans="3:33" ht="23.25" customHeight="1">
      <c r="C30" s="13">
        <f t="shared" si="34"/>
        <v>2</v>
      </c>
      <c r="D30">
        <f t="shared" si="34"/>
        <v>10</v>
      </c>
      <c r="E30" s="13">
        <f>IF(D30=10,12,IF(D30=12.5,14.5,22))</f>
        <v>12</v>
      </c>
      <c r="F30">
        <f>IF(DATA!C50=10,DATA!B52,F29)</f>
        <v>20110</v>
      </c>
      <c r="G30">
        <f>IF(DATA!C49=10,DATA!B51,G29)</f>
        <v>19580</v>
      </c>
      <c r="H30" s="28" t="str">
        <f>IF(DATA!B53&gt;9,"01-10-2011","0")</f>
        <v>0</v>
      </c>
      <c r="I30" s="29" t="str">
        <f>IF(DATA!B53&gt;9,"31-10-2011","0")</f>
        <v>0</v>
      </c>
      <c r="J30" s="27">
        <f>IF(DATA!B53&gt;9,(Bill!I30-Bill!H30)+1,0)</f>
        <v>0</v>
      </c>
      <c r="K30" s="27">
        <f>IF(DATA!B53&gt;9,Bill!F30,0)</f>
        <v>0</v>
      </c>
      <c r="L30" s="27">
        <f>ROUND(K30*29.96%,0)</f>
        <v>0</v>
      </c>
      <c r="M30" s="27">
        <f>ROUND(K30*E30%,0)</f>
        <v>0</v>
      </c>
      <c r="N30" s="19">
        <f>IF(O30=0,0,Z30)</f>
        <v>0</v>
      </c>
      <c r="O30" s="27">
        <f>SUM(K30:M30)</f>
        <v>0</v>
      </c>
      <c r="P30" s="27">
        <f>IF(DATA!B53&gt;9,Bill!G29,0)</f>
        <v>0</v>
      </c>
      <c r="Q30" s="27">
        <f>ROUND(P30*29.96%,0)</f>
        <v>0</v>
      </c>
      <c r="R30" s="27">
        <f>ROUND(P30*E30%,0)</f>
        <v>0</v>
      </c>
      <c r="S30" s="19">
        <f>IF(T30=0,0,AA30)</f>
        <v>0</v>
      </c>
      <c r="T30" s="27">
        <f>SUM(P30:R30)</f>
        <v>0</v>
      </c>
      <c r="U30" s="27">
        <f t="shared" si="33"/>
        <v>0</v>
      </c>
      <c r="V30" s="27">
        <f t="shared" si="33"/>
        <v>0</v>
      </c>
      <c r="W30" s="27">
        <f t="shared" si="33"/>
        <v>0</v>
      </c>
      <c r="X30" s="301">
        <f>IF(Y30=0,0,AF30)</f>
        <v>0</v>
      </c>
      <c r="Y30" s="27">
        <f>SUM(U30:W30)</f>
        <v>0</v>
      </c>
      <c r="Z30" s="28" t="str">
        <f>IF(O30&gt;=20000,"200",IF(O30&gt;=15000,"150",IF(O30&gt;=10000,"100","80")))</f>
        <v>80</v>
      </c>
      <c r="AA30" s="28" t="str">
        <f>IF(T30&gt;=20000,"200",IF(T30&gt;=15000,"150",IF(T30&gt;=10000,"100","80")))</f>
        <v>80</v>
      </c>
      <c r="AB30" s="27">
        <f>Z30-AA30</f>
        <v>0</v>
      </c>
      <c r="AC30" s="24">
        <v>0</v>
      </c>
      <c r="AD30" s="24">
        <v>0</v>
      </c>
      <c r="AE30" s="24">
        <f>IF(C30&lt;3,Y30-AB30,0)</f>
        <v>0</v>
      </c>
      <c r="AF30" s="24">
        <v>0</v>
      </c>
      <c r="AG30" s="24">
        <f>Y30-AF30</f>
        <v>0</v>
      </c>
    </row>
    <row r="31" spans="8:33" ht="27" customHeight="1">
      <c r="H31" s="343" t="s">
        <v>124</v>
      </c>
      <c r="I31" s="344"/>
      <c r="J31" s="345"/>
      <c r="K31" s="24">
        <f>SUM(K26:K30)</f>
        <v>40220</v>
      </c>
      <c r="L31" s="24">
        <f>SUM(L26:L30)</f>
        <v>12050</v>
      </c>
      <c r="M31" s="24">
        <f>SUM(M26:M30)</f>
        <v>4826</v>
      </c>
      <c r="N31" s="24"/>
      <c r="O31" s="24">
        <f aca="true" t="shared" si="35" ref="O31:AG31">SUM(O26:O30)</f>
        <v>57096</v>
      </c>
      <c r="P31" s="24">
        <f t="shared" si="35"/>
        <v>39160</v>
      </c>
      <c r="Q31" s="24">
        <f t="shared" si="35"/>
        <v>11732</v>
      </c>
      <c r="R31" s="24">
        <f t="shared" si="35"/>
        <v>4700</v>
      </c>
      <c r="S31" s="24">
        <f t="shared" si="35"/>
        <v>0</v>
      </c>
      <c r="T31" s="24">
        <f t="shared" si="35"/>
        <v>55592</v>
      </c>
      <c r="U31" s="24">
        <f t="shared" si="35"/>
        <v>1060</v>
      </c>
      <c r="V31" s="24">
        <f t="shared" si="35"/>
        <v>318</v>
      </c>
      <c r="W31" s="24">
        <f t="shared" si="35"/>
        <v>126</v>
      </c>
      <c r="X31" s="24">
        <f t="shared" si="35"/>
        <v>0</v>
      </c>
      <c r="Y31" s="24">
        <f t="shared" si="35"/>
        <v>1504</v>
      </c>
      <c r="Z31" s="24">
        <f t="shared" si="35"/>
        <v>0</v>
      </c>
      <c r="AA31" s="24">
        <f t="shared" si="35"/>
        <v>0</v>
      </c>
      <c r="AB31" s="24">
        <f t="shared" si="35"/>
        <v>0</v>
      </c>
      <c r="AC31" s="24">
        <f t="shared" si="35"/>
        <v>0</v>
      </c>
      <c r="AD31" s="24">
        <f t="shared" si="35"/>
        <v>0</v>
      </c>
      <c r="AE31" s="24">
        <f t="shared" si="35"/>
        <v>1504</v>
      </c>
      <c r="AF31" s="24">
        <f t="shared" si="35"/>
        <v>0</v>
      </c>
      <c r="AG31" s="24">
        <f t="shared" si="35"/>
        <v>1504</v>
      </c>
    </row>
  </sheetData>
  <sheetProtection/>
  <mergeCells count="20">
    <mergeCell ref="AA6:AA7"/>
    <mergeCell ref="H1:AG1"/>
    <mergeCell ref="K6:O6"/>
    <mergeCell ref="P6:T6"/>
    <mergeCell ref="U6:Y6"/>
    <mergeCell ref="Z6:Z7"/>
    <mergeCell ref="H2:J2"/>
    <mergeCell ref="H3:J3"/>
    <mergeCell ref="H4:J5"/>
    <mergeCell ref="K2:AG5"/>
    <mergeCell ref="H31:J31"/>
    <mergeCell ref="AD6:AD7"/>
    <mergeCell ref="AG6:AG7"/>
    <mergeCell ref="H6:I6"/>
    <mergeCell ref="AB6:AB7"/>
    <mergeCell ref="AC6:AC7"/>
    <mergeCell ref="H25:Y25"/>
    <mergeCell ref="A24:J24"/>
    <mergeCell ref="AE6:AE7"/>
    <mergeCell ref="AF6:AF7"/>
  </mergeCells>
  <printOptions/>
  <pageMargins left="0.55" right="0.28" top="0.6" bottom="0.75" header="0.3" footer="0.3"/>
  <pageSetup horizontalDpi="600" verticalDpi="600" orientation="landscape" paperSize="5" scale="86" r:id="rId1"/>
</worksheet>
</file>

<file path=xl/worksheets/sheet4.xml><?xml version="1.0" encoding="utf-8"?>
<worksheet xmlns="http://schemas.openxmlformats.org/spreadsheetml/2006/main" xmlns:r="http://schemas.openxmlformats.org/officeDocument/2006/relationships">
  <dimension ref="A1:Z75"/>
  <sheetViews>
    <sheetView zoomScalePageLayoutView="0" workbookViewId="0" topLeftCell="B1">
      <selection activeCell="F9" sqref="F9:J9"/>
    </sheetView>
  </sheetViews>
  <sheetFormatPr defaultColWidth="9.140625" defaultRowHeight="15"/>
  <cols>
    <col min="1" max="1" width="5.421875" style="0" customWidth="1"/>
    <col min="2" max="4" width="5.7109375" style="0" customWidth="1"/>
    <col min="5" max="5" width="4.8515625" style="0" customWidth="1"/>
    <col min="6" max="6" width="4.7109375" style="0" customWidth="1"/>
    <col min="7" max="7" width="5.00390625" style="0" customWidth="1"/>
    <col min="8" max="10" width="5.7109375" style="0" customWidth="1"/>
    <col min="11" max="11" width="5.140625" style="0" customWidth="1"/>
    <col min="12" max="12" width="3.57421875" style="0" customWidth="1"/>
    <col min="13" max="13" width="5.140625" style="0" customWidth="1"/>
    <col min="14" max="14" width="6.421875" style="0" customWidth="1"/>
    <col min="15" max="16" width="5.7109375" style="0" customWidth="1"/>
    <col min="17" max="17" width="5.421875" style="0" customWidth="1"/>
    <col min="18" max="18" width="5.7109375" style="0" customWidth="1"/>
    <col min="19" max="19" width="4.140625" style="0" customWidth="1"/>
    <col min="20" max="20" width="5.7109375" style="0" customWidth="1"/>
    <col min="21" max="21" width="2.140625" style="0" customWidth="1"/>
    <col min="22" max="22" width="4.421875" style="0" customWidth="1"/>
    <col min="23" max="23" width="3.421875" style="0" customWidth="1"/>
    <col min="24" max="24" width="5.7109375" style="0" customWidth="1"/>
    <col min="25" max="25" width="9.140625" style="0" customWidth="1"/>
  </cols>
  <sheetData>
    <row r="1" spans="1:24" ht="31.5" customHeight="1">
      <c r="A1" s="363"/>
      <c r="B1" s="337" t="s">
        <v>388</v>
      </c>
      <c r="C1" s="337"/>
      <c r="D1" s="337"/>
      <c r="E1" s="337"/>
      <c r="F1" s="337"/>
      <c r="G1" s="337"/>
      <c r="H1" s="337"/>
      <c r="I1" s="337"/>
      <c r="J1" s="337"/>
      <c r="K1" s="337"/>
      <c r="L1" s="337"/>
      <c r="M1" s="337"/>
      <c r="N1" s="337"/>
      <c r="O1" s="337"/>
      <c r="P1" s="337"/>
      <c r="Q1" s="337"/>
      <c r="R1" s="337"/>
      <c r="S1" s="337"/>
      <c r="T1" s="337"/>
      <c r="U1" s="337"/>
      <c r="V1" s="337"/>
      <c r="W1" s="337"/>
      <c r="X1" s="337"/>
    </row>
    <row r="2" spans="1:24" ht="16.5" customHeight="1">
      <c r="A2" s="360"/>
      <c r="B2" s="382" t="str">
        <f>CONCATENATE("PAYABLE AT "&amp;DATA!B15)</f>
        <v>PAYABLE AT STO,DARSI</v>
      </c>
      <c r="C2" s="383"/>
      <c r="D2" s="383"/>
      <c r="E2" s="383"/>
      <c r="F2" s="383"/>
      <c r="G2" s="383"/>
      <c r="H2" s="383"/>
      <c r="I2" s="383"/>
      <c r="J2" s="383"/>
      <c r="K2" s="383"/>
      <c r="L2" s="383"/>
      <c r="M2" s="383"/>
      <c r="N2" s="383"/>
      <c r="O2" s="383"/>
      <c r="P2" s="383"/>
      <c r="Q2" s="383"/>
      <c r="R2" s="383"/>
      <c r="S2" s="383"/>
      <c r="T2" s="383"/>
      <c r="U2" s="383"/>
      <c r="V2" s="383"/>
      <c r="W2" s="383"/>
      <c r="X2" s="384"/>
    </row>
    <row r="3" spans="1:24" ht="15.75">
      <c r="A3" s="360"/>
      <c r="B3" s="385"/>
      <c r="C3" s="386"/>
      <c r="D3" s="386"/>
      <c r="E3" s="386"/>
      <c r="F3" s="386"/>
      <c r="G3" s="386"/>
      <c r="H3" s="386"/>
      <c r="I3" s="386"/>
      <c r="J3" s="386"/>
      <c r="K3" s="386"/>
      <c r="L3" s="386"/>
      <c r="M3" s="386"/>
      <c r="N3" s="386"/>
      <c r="O3" s="386"/>
      <c r="P3" s="386"/>
      <c r="Q3" s="386"/>
      <c r="R3" s="386"/>
      <c r="S3" s="386"/>
      <c r="T3" s="386"/>
      <c r="U3" s="386"/>
      <c r="V3" s="386"/>
      <c r="W3" s="386"/>
      <c r="X3" s="387"/>
    </row>
    <row r="4" spans="1:24" ht="15.75" customHeight="1">
      <c r="A4" s="360"/>
      <c r="B4" s="385" t="s">
        <v>208</v>
      </c>
      <c r="C4" s="386"/>
      <c r="D4" s="386"/>
      <c r="E4" s="386"/>
      <c r="F4" s="386"/>
      <c r="G4" s="386"/>
      <c r="H4" s="386"/>
      <c r="I4" s="386"/>
      <c r="J4" s="386"/>
      <c r="K4" s="386"/>
      <c r="L4" s="386"/>
      <c r="M4" s="386"/>
      <c r="N4" s="386"/>
      <c r="O4" s="386"/>
      <c r="P4" s="386"/>
      <c r="Q4" s="386"/>
      <c r="R4" s="386"/>
      <c r="S4" s="386"/>
      <c r="T4" s="386"/>
      <c r="U4" s="386"/>
      <c r="V4" s="386"/>
      <c r="W4" s="386"/>
      <c r="X4" s="387"/>
    </row>
    <row r="5" spans="1:24" ht="15.75" customHeight="1">
      <c r="A5" s="360"/>
      <c r="B5" s="420" t="s">
        <v>129</v>
      </c>
      <c r="C5" s="421"/>
      <c r="D5" s="421"/>
      <c r="E5" s="422"/>
      <c r="F5" s="30">
        <v>0</v>
      </c>
      <c r="G5" s="30">
        <v>8</v>
      </c>
      <c r="H5" s="31"/>
      <c r="I5" s="30">
        <v>2</v>
      </c>
      <c r="J5" s="30">
        <v>0</v>
      </c>
      <c r="K5" s="30">
        <v>1</v>
      </c>
      <c r="L5" s="30">
        <v>0</v>
      </c>
      <c r="M5" s="32"/>
      <c r="N5" s="32"/>
      <c r="O5" s="32"/>
      <c r="P5" s="32"/>
      <c r="Q5" s="33"/>
      <c r="R5" s="33"/>
      <c r="S5" s="33"/>
      <c r="T5" s="33"/>
      <c r="U5" s="33"/>
      <c r="V5" s="33"/>
      <c r="W5" s="33"/>
      <c r="X5" s="34"/>
    </row>
    <row r="6" spans="1:24" ht="15.75" customHeight="1">
      <c r="A6" s="360"/>
      <c r="B6" s="35"/>
      <c r="C6" s="33"/>
      <c r="D6" s="33"/>
      <c r="E6" s="33"/>
      <c r="F6" s="32"/>
      <c r="G6" s="32"/>
      <c r="H6" s="32"/>
      <c r="I6" s="32"/>
      <c r="J6" s="32"/>
      <c r="K6" s="32"/>
      <c r="L6" s="32"/>
      <c r="M6" s="32"/>
      <c r="N6" s="32"/>
      <c r="O6" s="32"/>
      <c r="P6" s="32"/>
      <c r="Q6" s="33"/>
      <c r="R6" s="33"/>
      <c r="S6" s="33"/>
      <c r="T6" s="33"/>
      <c r="U6" s="33"/>
      <c r="V6" s="33"/>
      <c r="W6" s="33"/>
      <c r="X6" s="34"/>
    </row>
    <row r="7" spans="1:24" ht="15.75" customHeight="1">
      <c r="A7" s="360"/>
      <c r="B7" s="420" t="s">
        <v>130</v>
      </c>
      <c r="C7" s="421"/>
      <c r="D7" s="421"/>
      <c r="E7" s="422"/>
      <c r="F7" s="36">
        <f>DATA!B16</f>
        <v>0</v>
      </c>
      <c r="G7" s="36">
        <f>DATA!C16</f>
        <v>7</v>
      </c>
      <c r="H7" s="36">
        <f>DATA!D16</f>
        <v>0</v>
      </c>
      <c r="I7" s="36">
        <f>DATA!E16</f>
        <v>1</v>
      </c>
      <c r="J7" s="32"/>
      <c r="K7" s="32"/>
      <c r="L7" s="32"/>
      <c r="M7" s="32"/>
      <c r="N7" s="32"/>
      <c r="O7" s="32"/>
      <c r="Q7" s="33"/>
      <c r="R7" s="33"/>
      <c r="S7" s="33"/>
      <c r="T7" s="33"/>
      <c r="U7" s="33"/>
      <c r="V7" s="33"/>
      <c r="W7" s="33"/>
      <c r="X7" s="34"/>
    </row>
    <row r="8" spans="1:24" ht="15.75" customHeight="1">
      <c r="A8" s="360"/>
      <c r="B8" s="35"/>
      <c r="C8" s="33"/>
      <c r="D8" s="33"/>
      <c r="E8" s="33"/>
      <c r="F8" s="32"/>
      <c r="G8" s="32"/>
      <c r="H8" s="32"/>
      <c r="I8" s="32"/>
      <c r="J8" s="32"/>
      <c r="K8" s="32"/>
      <c r="L8" s="32"/>
      <c r="M8" s="32"/>
      <c r="N8" s="32"/>
      <c r="O8" s="32"/>
      <c r="P8" s="32" t="s">
        <v>131</v>
      </c>
      <c r="Q8" s="33"/>
      <c r="R8" s="33"/>
      <c r="S8" s="33"/>
      <c r="T8" s="33"/>
      <c r="U8" s="33"/>
      <c r="V8" s="33"/>
      <c r="W8" s="33"/>
      <c r="X8" s="34"/>
    </row>
    <row r="9" spans="1:24" ht="15.75" customHeight="1">
      <c r="A9" s="360"/>
      <c r="B9" s="420" t="s">
        <v>132</v>
      </c>
      <c r="C9" s="421"/>
      <c r="D9" s="421"/>
      <c r="E9" s="422"/>
      <c r="F9" s="423" t="str">
        <f>F7&amp;G7&amp;H7&amp;I7&amp;DATA!B19&amp;DATA!C19&amp;DATA!D19&amp;DATA!E19&amp;DATA!F19&amp;DATA!G19&amp;DATA!H19</f>
        <v>07010308063</v>
      </c>
      <c r="G9" s="423"/>
      <c r="H9" s="423"/>
      <c r="I9" s="423"/>
      <c r="J9" s="423"/>
      <c r="K9" s="37"/>
      <c r="L9" s="37"/>
      <c r="M9" s="37"/>
      <c r="N9" s="37"/>
      <c r="O9" s="37"/>
      <c r="P9" s="32" t="s">
        <v>133</v>
      </c>
      <c r="Q9" s="33"/>
      <c r="R9" s="33"/>
      <c r="S9" s="33"/>
      <c r="T9" s="33"/>
      <c r="U9" s="33"/>
      <c r="V9" s="33"/>
      <c r="W9" s="33"/>
      <c r="X9" s="34"/>
    </row>
    <row r="10" spans="1:24" ht="15.75" customHeight="1">
      <c r="A10" s="360"/>
      <c r="B10" s="35"/>
      <c r="C10" s="33"/>
      <c r="D10" s="33"/>
      <c r="E10" s="33"/>
      <c r="F10" s="33"/>
      <c r="G10" s="33"/>
      <c r="H10" s="33"/>
      <c r="I10" s="33"/>
      <c r="J10" s="33"/>
      <c r="K10" s="33"/>
      <c r="L10" s="33"/>
      <c r="M10" s="33"/>
      <c r="N10" s="33"/>
      <c r="O10" s="33"/>
      <c r="P10" s="33"/>
      <c r="Q10" s="33"/>
      <c r="R10" s="33"/>
      <c r="S10" s="33"/>
      <c r="T10" s="33"/>
      <c r="U10" s="33"/>
      <c r="V10" s="33"/>
      <c r="W10" s="33"/>
      <c r="X10" s="34"/>
    </row>
    <row r="11" spans="1:24" ht="15.75" customHeight="1">
      <c r="A11" s="360"/>
      <c r="B11" s="38" t="s">
        <v>134</v>
      </c>
      <c r="C11" s="33"/>
      <c r="D11" s="33"/>
      <c r="E11" s="33"/>
      <c r="F11" s="425" t="str">
        <f>CONCATENATE(DATA!B21&amp;","&amp;DATA!B4)</f>
        <v>M.E.O,MANDAL PARISHAD, NIDAMARRU</v>
      </c>
      <c r="G11" s="426"/>
      <c r="H11" s="426"/>
      <c r="I11" s="426"/>
      <c r="J11" s="426"/>
      <c r="K11" s="426"/>
      <c r="L11" s="426"/>
      <c r="M11" s="426"/>
      <c r="N11" s="427"/>
      <c r="O11" s="33"/>
      <c r="P11" s="37" t="s">
        <v>135</v>
      </c>
      <c r="R11" s="33"/>
      <c r="S11" s="33"/>
      <c r="T11" s="33"/>
      <c r="U11" s="33"/>
      <c r="V11" s="33"/>
      <c r="W11" s="33"/>
      <c r="X11" s="34"/>
    </row>
    <row r="12" spans="1:24" ht="15.75" customHeight="1">
      <c r="A12" s="360"/>
      <c r="B12" s="35"/>
      <c r="C12" s="33"/>
      <c r="D12" s="33"/>
      <c r="E12" s="33"/>
      <c r="F12" s="33"/>
      <c r="G12" s="33"/>
      <c r="H12" s="33"/>
      <c r="I12" s="33"/>
      <c r="J12" s="33"/>
      <c r="K12" s="33"/>
      <c r="L12" s="33"/>
      <c r="M12" s="33"/>
      <c r="N12" s="33"/>
      <c r="O12" s="33"/>
      <c r="P12" s="33"/>
      <c r="Q12" s="33" t="s">
        <v>136</v>
      </c>
      <c r="R12" s="33"/>
      <c r="S12" s="33"/>
      <c r="T12" s="33"/>
      <c r="U12" s="33"/>
      <c r="V12" s="33"/>
      <c r="W12" s="33"/>
      <c r="X12" s="34"/>
    </row>
    <row r="13" spans="1:24" ht="15.75" customHeight="1">
      <c r="A13" s="360"/>
      <c r="B13" s="35"/>
      <c r="C13" s="33"/>
      <c r="D13" s="33"/>
      <c r="E13" s="33"/>
      <c r="F13" s="33"/>
      <c r="G13" s="33"/>
      <c r="H13" s="33"/>
      <c r="I13" s="33"/>
      <c r="J13" s="33"/>
      <c r="K13" s="33"/>
      <c r="L13" s="33"/>
      <c r="M13" s="33"/>
      <c r="N13" s="33"/>
      <c r="O13" s="33"/>
      <c r="P13" s="33"/>
      <c r="Q13" s="33"/>
      <c r="R13" s="33"/>
      <c r="S13" s="33"/>
      <c r="T13" s="33"/>
      <c r="U13" s="33"/>
      <c r="V13" s="33"/>
      <c r="W13" s="33"/>
      <c r="X13" s="34"/>
    </row>
    <row r="14" spans="1:24" ht="15.75" customHeight="1">
      <c r="A14" s="360"/>
      <c r="B14" s="38" t="s">
        <v>137</v>
      </c>
      <c r="C14" s="33"/>
      <c r="D14" s="33"/>
      <c r="E14" s="33"/>
      <c r="F14" s="36">
        <f>DATA!B18</f>
        <v>0</v>
      </c>
      <c r="G14" s="36">
        <f>DATA!C18</f>
        <v>8</v>
      </c>
      <c r="H14" s="36">
        <f>DATA!D18</f>
        <v>9</v>
      </c>
      <c r="I14" s="36">
        <f>DATA!E18</f>
        <v>0</v>
      </c>
      <c r="J14" s="39"/>
      <c r="K14" s="39"/>
      <c r="L14" s="33" t="s">
        <v>138</v>
      </c>
      <c r="M14" s="33"/>
      <c r="N14" s="33"/>
      <c r="O14" s="33"/>
      <c r="P14" s="33"/>
      <c r="Q14" s="33"/>
      <c r="R14" s="33"/>
      <c r="S14" s="33"/>
      <c r="T14" s="33"/>
      <c r="U14" s="33"/>
      <c r="V14" s="33"/>
      <c r="W14" s="33"/>
      <c r="X14" s="34"/>
    </row>
    <row r="15" spans="1:24" ht="15.75" customHeight="1">
      <c r="A15" s="360"/>
      <c r="B15" s="35"/>
      <c r="C15" s="33"/>
      <c r="D15" s="33"/>
      <c r="E15" s="33"/>
      <c r="F15" s="32"/>
      <c r="G15" s="32"/>
      <c r="H15" s="32"/>
      <c r="I15" s="32"/>
      <c r="J15" s="40"/>
      <c r="K15" s="40"/>
      <c r="L15" s="33"/>
      <c r="M15" s="33"/>
      <c r="N15" s="33"/>
      <c r="O15" s="33"/>
      <c r="P15" s="33"/>
      <c r="Q15" s="33"/>
      <c r="R15" s="33"/>
      <c r="S15" s="33"/>
      <c r="T15" s="33"/>
      <c r="U15" s="33"/>
      <c r="V15" s="33"/>
      <c r="W15" s="33"/>
      <c r="X15" s="34"/>
    </row>
    <row r="16" spans="1:24" ht="15.75" customHeight="1">
      <c r="A16" s="360"/>
      <c r="B16" s="35" t="s">
        <v>139</v>
      </c>
      <c r="C16" s="33"/>
      <c r="D16" s="33"/>
      <c r="E16" s="33"/>
      <c r="F16" s="41" t="s">
        <v>389</v>
      </c>
      <c r="G16" s="42"/>
      <c r="H16" s="42"/>
      <c r="I16" s="43"/>
      <c r="J16" s="44"/>
      <c r="K16" s="33"/>
      <c r="L16" s="33"/>
      <c r="M16" s="44"/>
      <c r="N16" s="44"/>
      <c r="O16" s="44"/>
      <c r="P16" s="33"/>
      <c r="Q16" s="44"/>
      <c r="R16" s="44"/>
      <c r="S16" s="44"/>
      <c r="T16" s="44"/>
      <c r="U16" s="44"/>
      <c r="V16" s="33"/>
      <c r="W16" s="33"/>
      <c r="X16" s="34"/>
    </row>
    <row r="17" spans="1:24" ht="15.75" customHeight="1">
      <c r="A17" s="360"/>
      <c r="B17" s="35"/>
      <c r="C17" s="33"/>
      <c r="D17" s="33"/>
      <c r="E17" s="33"/>
      <c r="F17" s="33"/>
      <c r="G17" s="33"/>
      <c r="H17" s="33"/>
      <c r="I17" s="33"/>
      <c r="J17" s="33"/>
      <c r="K17" s="33"/>
      <c r="L17" s="33"/>
      <c r="M17" s="33" t="s">
        <v>140</v>
      </c>
      <c r="N17" s="33"/>
      <c r="O17" s="33"/>
      <c r="P17" s="33"/>
      <c r="Q17" s="33"/>
      <c r="R17" s="33"/>
      <c r="S17" s="33"/>
      <c r="T17" s="33"/>
      <c r="U17" s="33"/>
      <c r="V17" s="33"/>
      <c r="W17" s="33"/>
      <c r="X17" s="34"/>
    </row>
    <row r="18" spans="1:24" ht="15.75" customHeight="1">
      <c r="A18" s="360"/>
      <c r="B18" s="35"/>
      <c r="C18" s="33"/>
      <c r="D18" s="33"/>
      <c r="E18" s="33"/>
      <c r="F18" s="33"/>
      <c r="G18" s="33"/>
      <c r="H18" s="33"/>
      <c r="I18" s="33"/>
      <c r="J18" s="33"/>
      <c r="K18" s="33"/>
      <c r="L18" s="33"/>
      <c r="M18" s="33" t="s">
        <v>141</v>
      </c>
      <c r="N18" s="33"/>
      <c r="O18" s="33"/>
      <c r="P18" s="33"/>
      <c r="Q18" s="401" t="str">
        <f>DATA!B4</f>
        <v>MANDAL PARISHAD, NIDAMARRU</v>
      </c>
      <c r="R18" s="401"/>
      <c r="S18" s="401"/>
      <c r="T18" s="401"/>
      <c r="U18" s="401"/>
      <c r="V18" s="401"/>
      <c r="W18" s="401"/>
      <c r="X18" s="424"/>
    </row>
    <row r="19" spans="1:24" ht="15.75" customHeight="1">
      <c r="A19" s="360"/>
      <c r="B19" s="35"/>
      <c r="C19" s="33"/>
      <c r="D19" s="33"/>
      <c r="E19" s="33"/>
      <c r="F19" s="33"/>
      <c r="G19" s="33"/>
      <c r="H19" s="33"/>
      <c r="I19" s="33"/>
      <c r="J19" s="33"/>
      <c r="K19" s="33"/>
      <c r="L19" s="33"/>
      <c r="M19" s="33" t="s">
        <v>142</v>
      </c>
      <c r="N19" s="33"/>
      <c r="O19" s="33"/>
      <c r="P19" s="33"/>
      <c r="Q19" s="401" t="str">
        <f>DATA!B17</f>
        <v>STATE BANK OF INDIA, GANAPAVARAM</v>
      </c>
      <c r="R19" s="401"/>
      <c r="S19" s="401"/>
      <c r="T19" s="401"/>
      <c r="U19" s="401"/>
      <c r="V19" s="401"/>
      <c r="W19" s="401"/>
      <c r="X19" s="424"/>
    </row>
    <row r="20" spans="1:24" ht="15.75" customHeight="1">
      <c r="A20" s="360"/>
      <c r="B20" s="35"/>
      <c r="C20" s="33"/>
      <c r="D20" s="33"/>
      <c r="E20" s="33"/>
      <c r="F20" s="33"/>
      <c r="G20" s="33"/>
      <c r="H20" s="33"/>
      <c r="I20" s="33"/>
      <c r="J20" s="33"/>
      <c r="K20" s="33"/>
      <c r="L20" s="33"/>
      <c r="M20" s="33"/>
      <c r="N20" s="33"/>
      <c r="O20" s="33"/>
      <c r="P20" s="33"/>
      <c r="Q20" s="33"/>
      <c r="R20" s="33"/>
      <c r="S20" s="33"/>
      <c r="T20" s="33"/>
      <c r="U20" s="33"/>
      <c r="V20" s="33"/>
      <c r="W20" s="33"/>
      <c r="X20" s="34"/>
    </row>
    <row r="21" spans="1:24" ht="15.75" customHeight="1">
      <c r="A21" s="360"/>
      <c r="B21" s="45"/>
      <c r="C21" s="46"/>
      <c r="D21" s="46"/>
      <c r="E21" s="46"/>
      <c r="F21" s="46"/>
      <c r="G21" s="46"/>
      <c r="H21" s="46"/>
      <c r="I21" s="46"/>
      <c r="J21" s="46"/>
      <c r="K21" s="46"/>
      <c r="L21" s="46"/>
      <c r="M21" s="46"/>
      <c r="N21" s="46"/>
      <c r="O21" s="46"/>
      <c r="P21" s="46"/>
      <c r="Q21" s="46"/>
      <c r="R21" s="47" t="s">
        <v>209</v>
      </c>
      <c r="S21" s="46"/>
      <c r="T21" s="46"/>
      <c r="U21" s="46"/>
      <c r="V21" s="46"/>
      <c r="W21" s="46"/>
      <c r="X21" s="48"/>
    </row>
    <row r="22" spans="1:24" ht="15.75" customHeight="1">
      <c r="A22" s="360"/>
      <c r="B22" s="49" t="s">
        <v>143</v>
      </c>
      <c r="C22" s="33"/>
      <c r="D22" s="33"/>
      <c r="E22" s="33"/>
      <c r="F22" s="33"/>
      <c r="G22" s="33"/>
      <c r="H22" s="33"/>
      <c r="I22" s="33"/>
      <c r="J22" s="33"/>
      <c r="K22" s="33"/>
      <c r="L22" s="50"/>
      <c r="M22" s="51" t="s">
        <v>144</v>
      </c>
      <c r="N22" s="51"/>
      <c r="O22" s="51"/>
      <c r="P22" s="51"/>
      <c r="Q22" s="51"/>
      <c r="R22" s="51"/>
      <c r="S22" s="51"/>
      <c r="T22" s="416" t="s">
        <v>145</v>
      </c>
      <c r="U22" s="416"/>
      <c r="V22" s="416"/>
      <c r="W22" s="416"/>
      <c r="X22" s="417"/>
    </row>
    <row r="23" spans="1:24" ht="15.75" customHeight="1">
      <c r="A23" s="360"/>
      <c r="B23" s="38" t="s">
        <v>146</v>
      </c>
      <c r="C23" s="51"/>
      <c r="D23" s="51"/>
      <c r="E23" s="52"/>
      <c r="F23" s="52"/>
      <c r="G23" s="52"/>
      <c r="H23" s="53">
        <f>DATA!B22</f>
        <v>2</v>
      </c>
      <c r="I23" s="53">
        <f>DATA!C22</f>
        <v>2</v>
      </c>
      <c r="J23" s="53">
        <f>DATA!D22</f>
        <v>0</v>
      </c>
      <c r="K23" s="53">
        <f>DATA!E22</f>
        <v>2</v>
      </c>
      <c r="L23" s="54"/>
      <c r="M23" s="51">
        <v>1</v>
      </c>
      <c r="N23" s="51" t="s">
        <v>147</v>
      </c>
      <c r="O23" s="51"/>
      <c r="P23" s="51"/>
      <c r="Q23" s="51"/>
      <c r="R23" s="51"/>
      <c r="S23" s="51" t="s">
        <v>148</v>
      </c>
      <c r="T23" s="55"/>
      <c r="U23" s="56"/>
      <c r="V23" s="418">
        <f>Bill!AE24</f>
        <v>10882</v>
      </c>
      <c r="W23" s="418"/>
      <c r="X23" s="419"/>
    </row>
    <row r="24" spans="1:24" ht="15.75" customHeight="1">
      <c r="A24" s="360"/>
      <c r="B24" s="38"/>
      <c r="C24" s="51"/>
      <c r="D24" s="51"/>
      <c r="E24" s="51"/>
      <c r="F24" s="55"/>
      <c r="G24" s="55"/>
      <c r="H24" s="415" t="s">
        <v>149</v>
      </c>
      <c r="I24" s="415"/>
      <c r="J24" s="415"/>
      <c r="K24" s="415"/>
      <c r="L24" s="54"/>
      <c r="M24" s="51"/>
      <c r="N24" s="51"/>
      <c r="O24" s="51"/>
      <c r="P24" s="51"/>
      <c r="Q24" s="51"/>
      <c r="R24" s="51"/>
      <c r="S24" s="51"/>
      <c r="T24" s="56"/>
      <c r="U24" s="56"/>
      <c r="V24" s="56"/>
      <c r="W24" s="56"/>
      <c r="X24" s="57"/>
    </row>
    <row r="25" spans="1:24" ht="15.75" customHeight="1">
      <c r="A25" s="360"/>
      <c r="B25" s="38" t="s">
        <v>150</v>
      </c>
      <c r="C25" s="51"/>
      <c r="D25" s="51"/>
      <c r="E25" s="52"/>
      <c r="F25" s="52"/>
      <c r="G25" s="58"/>
      <c r="H25" s="51"/>
      <c r="I25" s="51"/>
      <c r="J25" s="53">
        <f>DATA!B23</f>
        <v>0</v>
      </c>
      <c r="K25" s="53">
        <f>DATA!C23</f>
        <v>1</v>
      </c>
      <c r="L25" s="54"/>
      <c r="M25" s="51">
        <v>2</v>
      </c>
      <c r="N25" s="51" t="s">
        <v>151</v>
      </c>
      <c r="O25" s="51"/>
      <c r="P25" s="51"/>
      <c r="Q25" s="51"/>
      <c r="R25" s="51"/>
      <c r="S25" s="51" t="s">
        <v>148</v>
      </c>
      <c r="T25" s="55"/>
      <c r="U25" s="56"/>
      <c r="V25" s="413"/>
      <c r="W25" s="413"/>
      <c r="X25" s="414"/>
    </row>
    <row r="26" spans="1:24" ht="15.75" customHeight="1">
      <c r="A26" s="360"/>
      <c r="B26" s="38"/>
      <c r="C26" s="51"/>
      <c r="D26" s="51"/>
      <c r="E26" s="58"/>
      <c r="F26" s="58"/>
      <c r="G26" s="388" t="str">
        <f>IF(K25&gt;1,"Secondary Education","Elementary Education")</f>
        <v>Elementary Education</v>
      </c>
      <c r="H26" s="388"/>
      <c r="I26" s="388"/>
      <c r="J26" s="388"/>
      <c r="K26" s="388"/>
      <c r="L26" s="54"/>
      <c r="M26" s="51"/>
      <c r="N26" s="51"/>
      <c r="O26" s="51"/>
      <c r="P26" s="51"/>
      <c r="Q26" s="51"/>
      <c r="R26" s="51"/>
      <c r="S26" s="51"/>
      <c r="T26" s="56"/>
      <c r="U26" s="56"/>
      <c r="V26" s="56"/>
      <c r="W26" s="56"/>
      <c r="X26" s="57"/>
    </row>
    <row r="27" spans="1:24" ht="15.75" customHeight="1">
      <c r="A27" s="360"/>
      <c r="B27" s="38" t="s">
        <v>152</v>
      </c>
      <c r="C27" s="51"/>
      <c r="D27" s="51"/>
      <c r="E27" s="52"/>
      <c r="F27" s="52"/>
      <c r="G27" s="52"/>
      <c r="H27" s="59"/>
      <c r="I27" s="53">
        <f>DATA!B24</f>
        <v>1</v>
      </c>
      <c r="J27" s="53">
        <f>DATA!C24</f>
        <v>0</v>
      </c>
      <c r="K27" s="53">
        <f>DATA!D24</f>
        <v>3</v>
      </c>
      <c r="L27" s="60"/>
      <c r="M27" s="51">
        <v>3</v>
      </c>
      <c r="N27" s="51" t="s">
        <v>153</v>
      </c>
      <c r="O27" s="51"/>
      <c r="P27" s="51"/>
      <c r="Q27" s="51"/>
      <c r="R27" s="51"/>
      <c r="S27" s="51" t="s">
        <v>148</v>
      </c>
      <c r="T27" s="55"/>
      <c r="U27" s="55"/>
      <c r="V27" s="413"/>
      <c r="W27" s="413"/>
      <c r="X27" s="414"/>
    </row>
    <row r="28" spans="1:24" ht="15.75" customHeight="1">
      <c r="A28" s="360"/>
      <c r="B28" s="61"/>
      <c r="C28" s="62" t="s">
        <v>154</v>
      </c>
      <c r="E28" s="44"/>
      <c r="F28" s="63"/>
      <c r="G28" s="56"/>
      <c r="H28" s="56"/>
      <c r="I28" s="56"/>
      <c r="J28" s="56"/>
      <c r="K28" s="56"/>
      <c r="L28" s="54"/>
      <c r="M28" s="51"/>
      <c r="N28" s="51"/>
      <c r="O28" s="51"/>
      <c r="P28" s="51"/>
      <c r="Q28" s="51"/>
      <c r="R28" s="51"/>
      <c r="S28" s="51"/>
      <c r="T28" s="56"/>
      <c r="U28" s="56"/>
      <c r="V28" s="56"/>
      <c r="W28" s="56"/>
      <c r="X28" s="57"/>
    </row>
    <row r="29" spans="1:24" ht="15.75" customHeight="1">
      <c r="A29" s="360"/>
      <c r="B29" s="38" t="s">
        <v>155</v>
      </c>
      <c r="C29" s="51"/>
      <c r="D29" s="51"/>
      <c r="E29" s="52"/>
      <c r="F29" s="52"/>
      <c r="G29" s="52"/>
      <c r="H29" s="51"/>
      <c r="I29" s="51"/>
      <c r="J29" s="64" t="s">
        <v>156</v>
      </c>
      <c r="K29" s="64" t="s">
        <v>156</v>
      </c>
      <c r="L29" s="54"/>
      <c r="M29" s="51">
        <v>4</v>
      </c>
      <c r="N29" s="51" t="s">
        <v>157</v>
      </c>
      <c r="O29" s="51"/>
      <c r="P29" s="51"/>
      <c r="Q29" s="51"/>
      <c r="R29" s="51"/>
      <c r="S29" s="51" t="s">
        <v>148</v>
      </c>
      <c r="T29" s="55"/>
      <c r="U29" s="65"/>
      <c r="V29" s="379">
        <f>Bill!X24+Bill!X31</f>
        <v>0</v>
      </c>
      <c r="W29" s="379"/>
      <c r="X29" s="396"/>
    </row>
    <row r="30" spans="1:26" ht="15.75" customHeight="1">
      <c r="A30" s="360"/>
      <c r="B30" s="38"/>
      <c r="C30" s="51"/>
      <c r="D30" s="51"/>
      <c r="E30" s="52"/>
      <c r="F30" s="52"/>
      <c r="G30" s="52"/>
      <c r="H30" s="51"/>
      <c r="I30" s="51"/>
      <c r="J30" s="51"/>
      <c r="K30" s="51"/>
      <c r="L30" s="54"/>
      <c r="M30" s="51"/>
      <c r="N30" s="51"/>
      <c r="O30" s="51"/>
      <c r="P30" s="51"/>
      <c r="Q30" s="51"/>
      <c r="R30" s="51"/>
      <c r="S30" s="51"/>
      <c r="T30" s="56"/>
      <c r="U30" s="56"/>
      <c r="V30" s="56"/>
      <c r="W30" s="56"/>
      <c r="X30" s="57"/>
      <c r="Z30" s="44"/>
    </row>
    <row r="31" spans="1:24" ht="15.75" customHeight="1">
      <c r="A31" s="360"/>
      <c r="B31" s="38" t="s">
        <v>158</v>
      </c>
      <c r="C31" s="51"/>
      <c r="D31" s="51"/>
      <c r="E31" s="52"/>
      <c r="F31" s="52"/>
      <c r="G31" s="52"/>
      <c r="H31" s="59"/>
      <c r="I31" s="59"/>
      <c r="J31" s="53">
        <f>DATA!B25</f>
        <v>0</v>
      </c>
      <c r="K31" s="53">
        <f>DATA!C25</f>
        <v>4</v>
      </c>
      <c r="L31" s="60"/>
      <c r="M31" s="51">
        <v>5</v>
      </c>
      <c r="N31" s="51" t="s">
        <v>159</v>
      </c>
      <c r="O31" s="51"/>
      <c r="P31" s="51"/>
      <c r="Q31" s="51"/>
      <c r="R31" s="51"/>
      <c r="S31" s="51" t="s">
        <v>148</v>
      </c>
      <c r="T31" s="388"/>
      <c r="U31" s="388"/>
      <c r="V31" s="388"/>
      <c r="W31" s="388"/>
      <c r="X31" s="391"/>
    </row>
    <row r="32" spans="1:24" ht="15.75" customHeight="1">
      <c r="A32" s="360"/>
      <c r="B32" s="38"/>
      <c r="C32" s="51"/>
      <c r="D32" s="55"/>
      <c r="E32" s="55"/>
      <c r="F32" s="55"/>
      <c r="G32" s="66"/>
      <c r="H32" s="52"/>
      <c r="I32" s="67" t="s">
        <v>160</v>
      </c>
      <c r="J32" s="52"/>
      <c r="K32" s="51"/>
      <c r="L32" s="54"/>
      <c r="M32" s="51"/>
      <c r="N32" s="51"/>
      <c r="O32" s="51"/>
      <c r="P32" s="51"/>
      <c r="Q32" s="51"/>
      <c r="R32" s="51"/>
      <c r="S32" s="51"/>
      <c r="T32" s="56"/>
      <c r="U32" s="56"/>
      <c r="V32" s="56"/>
      <c r="W32" s="56"/>
      <c r="X32" s="57"/>
    </row>
    <row r="33" spans="1:24" ht="15.75" customHeight="1">
      <c r="A33" s="360"/>
      <c r="B33" s="38" t="s">
        <v>161</v>
      </c>
      <c r="C33" s="51"/>
      <c r="D33" s="51"/>
      <c r="E33" s="52"/>
      <c r="F33" s="52"/>
      <c r="G33" s="52"/>
      <c r="H33" s="51"/>
      <c r="I33" s="53">
        <f>DATA!B26</f>
        <v>0</v>
      </c>
      <c r="J33" s="53">
        <f>DATA!C26</f>
        <v>1</v>
      </c>
      <c r="K33" s="53">
        <f>DATA!D26</f>
        <v>0</v>
      </c>
      <c r="L33" s="54"/>
      <c r="M33" s="51">
        <v>6</v>
      </c>
      <c r="N33" s="51" t="s">
        <v>162</v>
      </c>
      <c r="O33" s="51"/>
      <c r="P33" s="51"/>
      <c r="Q33" s="51"/>
      <c r="R33" s="51"/>
      <c r="S33" s="51" t="s">
        <v>148</v>
      </c>
      <c r="T33" s="44"/>
      <c r="U33" s="65"/>
      <c r="V33" s="395"/>
      <c r="W33" s="395"/>
      <c r="X33" s="412"/>
    </row>
    <row r="34" spans="1:24" ht="15.75" customHeight="1" thickBot="1">
      <c r="A34" s="360"/>
      <c r="B34" s="68"/>
      <c r="C34" s="69"/>
      <c r="D34" s="69"/>
      <c r="E34" s="69"/>
      <c r="F34" s="69"/>
      <c r="G34" s="69"/>
      <c r="H34" s="69"/>
      <c r="I34" s="70"/>
      <c r="J34" s="71" t="s">
        <v>163</v>
      </c>
      <c r="K34" s="69"/>
      <c r="L34" s="72"/>
      <c r="M34" s="51">
        <v>7</v>
      </c>
      <c r="N34" s="51" t="s">
        <v>164</v>
      </c>
      <c r="O34" s="51"/>
      <c r="P34" s="51"/>
      <c r="Q34" s="51"/>
      <c r="R34" s="51"/>
      <c r="S34" s="51" t="s">
        <v>148</v>
      </c>
      <c r="T34" s="388"/>
      <c r="U34" s="388"/>
      <c r="V34" s="388"/>
      <c r="W34" s="388"/>
      <c r="X34" s="391"/>
    </row>
    <row r="35" spans="1:24" ht="15.75" customHeight="1">
      <c r="A35" s="360"/>
      <c r="B35" s="38"/>
      <c r="C35" s="51"/>
      <c r="D35" s="51"/>
      <c r="E35" s="51"/>
      <c r="F35" s="51"/>
      <c r="G35" s="51"/>
      <c r="H35" s="51"/>
      <c r="I35" s="51"/>
      <c r="J35" s="51"/>
      <c r="K35" s="51"/>
      <c r="L35" s="54"/>
      <c r="M35" s="51">
        <v>8</v>
      </c>
      <c r="N35" s="51" t="s">
        <v>165</v>
      </c>
      <c r="O35" s="51"/>
      <c r="P35" s="51"/>
      <c r="Q35" s="51"/>
      <c r="R35" s="51"/>
      <c r="S35" s="51" t="s">
        <v>148</v>
      </c>
      <c r="T35" s="388"/>
      <c r="U35" s="388"/>
      <c r="V35" s="388"/>
      <c r="W35" s="388"/>
      <c r="X35" s="391"/>
    </row>
    <row r="36" spans="1:24" ht="15.75" customHeight="1">
      <c r="A36" s="360"/>
      <c r="B36" s="38" t="s">
        <v>166</v>
      </c>
      <c r="C36" s="51"/>
      <c r="D36" s="51"/>
      <c r="E36" s="51"/>
      <c r="F36" s="73" t="s">
        <v>283</v>
      </c>
      <c r="G36" s="51" t="s">
        <v>167</v>
      </c>
      <c r="H36" s="51"/>
      <c r="I36" s="51"/>
      <c r="J36" s="51"/>
      <c r="K36" s="73" t="s">
        <v>285</v>
      </c>
      <c r="L36" s="54"/>
      <c r="M36" s="51">
        <v>9</v>
      </c>
      <c r="N36" s="51" t="s">
        <v>168</v>
      </c>
      <c r="O36" s="51"/>
      <c r="P36" s="51"/>
      <c r="Q36" s="51"/>
      <c r="R36" s="51"/>
      <c r="S36" s="51" t="s">
        <v>148</v>
      </c>
      <c r="T36" s="388"/>
      <c r="U36" s="388"/>
      <c r="V36" s="388"/>
      <c r="W36" s="388"/>
      <c r="X36" s="391"/>
    </row>
    <row r="37" spans="1:24" ht="15.75" customHeight="1">
      <c r="A37" s="360"/>
      <c r="B37" s="38" t="s">
        <v>169</v>
      </c>
      <c r="C37" s="51"/>
      <c r="D37" s="51"/>
      <c r="E37" s="51"/>
      <c r="F37" s="51"/>
      <c r="G37" s="51"/>
      <c r="H37" s="51"/>
      <c r="I37" s="51"/>
      <c r="J37" s="51"/>
      <c r="K37" s="51"/>
      <c r="L37" s="54"/>
      <c r="M37" s="51">
        <v>10</v>
      </c>
      <c r="N37" s="51" t="s">
        <v>170</v>
      </c>
      <c r="O37" s="51"/>
      <c r="P37" s="51"/>
      <c r="Q37" s="51"/>
      <c r="R37" s="51"/>
      <c r="S37" s="51" t="s">
        <v>148</v>
      </c>
      <c r="T37" s="388"/>
      <c r="U37" s="388"/>
      <c r="V37" s="388"/>
      <c r="W37" s="388"/>
      <c r="X37" s="391"/>
    </row>
    <row r="38" spans="1:24" ht="15.75" customHeight="1">
      <c r="A38" s="360"/>
      <c r="B38" s="38" t="s">
        <v>171</v>
      </c>
      <c r="C38" s="51"/>
      <c r="D38" s="51"/>
      <c r="E38" s="51"/>
      <c r="F38" s="74"/>
      <c r="G38" s="74"/>
      <c r="H38" s="75">
        <v>2</v>
      </c>
      <c r="I38" s="75">
        <v>2</v>
      </c>
      <c r="J38" s="75">
        <v>0</v>
      </c>
      <c r="K38" s="75">
        <v>2</v>
      </c>
      <c r="L38" s="54"/>
      <c r="M38" s="51">
        <v>11</v>
      </c>
      <c r="N38" s="51" t="s">
        <v>172</v>
      </c>
      <c r="O38" s="51"/>
      <c r="P38" s="51"/>
      <c r="Q38" s="51"/>
      <c r="R38" s="51"/>
      <c r="S38" s="51" t="s">
        <v>148</v>
      </c>
      <c r="T38" s="388"/>
      <c r="U38" s="388"/>
      <c r="V38" s="388"/>
      <c r="W38" s="388"/>
      <c r="X38" s="391"/>
    </row>
    <row r="39" spans="1:24" ht="15.75" customHeight="1" thickBot="1">
      <c r="A39" s="360"/>
      <c r="B39" s="68"/>
      <c r="C39" s="69"/>
      <c r="D39" s="69"/>
      <c r="E39" s="69"/>
      <c r="F39" s="69"/>
      <c r="G39" s="69"/>
      <c r="H39" s="69"/>
      <c r="I39" s="69"/>
      <c r="J39" s="69"/>
      <c r="K39" s="69"/>
      <c r="L39" s="72"/>
      <c r="M39" s="51">
        <v>12</v>
      </c>
      <c r="N39" s="51" t="s">
        <v>173</v>
      </c>
      <c r="O39" s="51"/>
      <c r="P39" s="51"/>
      <c r="Q39" s="51"/>
      <c r="R39" s="51"/>
      <c r="S39" s="51" t="s">
        <v>148</v>
      </c>
      <c r="T39" s="388"/>
      <c r="U39" s="388"/>
      <c r="V39" s="388"/>
      <c r="W39" s="388"/>
      <c r="X39" s="391"/>
    </row>
    <row r="40" spans="1:24" ht="15.75" customHeight="1">
      <c r="A40" s="360"/>
      <c r="B40" s="38"/>
      <c r="C40" s="51"/>
      <c r="D40" s="51"/>
      <c r="E40" s="51"/>
      <c r="F40" s="51"/>
      <c r="G40" s="51"/>
      <c r="H40" s="51"/>
      <c r="I40" s="51"/>
      <c r="J40" s="51"/>
      <c r="K40" s="51"/>
      <c r="L40" s="54"/>
      <c r="M40" s="51">
        <v>13</v>
      </c>
      <c r="N40" s="51" t="s">
        <v>174</v>
      </c>
      <c r="O40" s="51"/>
      <c r="P40" s="51"/>
      <c r="Q40" s="51"/>
      <c r="R40" s="51"/>
      <c r="S40" s="51" t="s">
        <v>148</v>
      </c>
      <c r="T40" s="388"/>
      <c r="U40" s="388"/>
      <c r="V40" s="388"/>
      <c r="W40" s="388"/>
      <c r="X40" s="391"/>
    </row>
    <row r="41" spans="1:26" ht="15.75" customHeight="1">
      <c r="A41" s="360"/>
      <c r="B41" s="38" t="s">
        <v>175</v>
      </c>
      <c r="C41" s="51"/>
      <c r="D41" s="51"/>
      <c r="E41" s="51"/>
      <c r="F41" s="51"/>
      <c r="G41" s="51" t="s">
        <v>148</v>
      </c>
      <c r="H41" s="379">
        <f>Bill!U24+Bill!U31</f>
        <v>9540</v>
      </c>
      <c r="I41" s="379"/>
      <c r="J41" s="379"/>
      <c r="K41" s="379"/>
      <c r="L41" s="390"/>
      <c r="M41" s="51">
        <v>14</v>
      </c>
      <c r="N41" s="51" t="s">
        <v>176</v>
      </c>
      <c r="O41" s="51"/>
      <c r="P41" s="51"/>
      <c r="Q41" s="51"/>
      <c r="R41" s="51"/>
      <c r="S41" s="51" t="s">
        <v>148</v>
      </c>
      <c r="T41" s="388"/>
      <c r="U41" s="388"/>
      <c r="V41" s="388"/>
      <c r="W41" s="388"/>
      <c r="X41" s="391"/>
      <c r="Z41" s="44"/>
    </row>
    <row r="42" spans="1:24" ht="15.75" customHeight="1">
      <c r="A42" s="360"/>
      <c r="B42" s="38" t="s">
        <v>177</v>
      </c>
      <c r="C42" s="51"/>
      <c r="D42" s="51"/>
      <c r="E42" s="51"/>
      <c r="F42" s="51"/>
      <c r="G42" s="51" t="s">
        <v>148</v>
      </c>
      <c r="H42" s="44"/>
      <c r="I42" s="44"/>
      <c r="J42" s="379"/>
      <c r="K42" s="379"/>
      <c r="L42" s="411"/>
      <c r="M42" s="51">
        <v>15</v>
      </c>
      <c r="N42" s="51" t="s">
        <v>178</v>
      </c>
      <c r="O42" s="51"/>
      <c r="P42" s="51"/>
      <c r="Q42" s="51"/>
      <c r="R42" s="51"/>
      <c r="S42" s="51" t="s">
        <v>148</v>
      </c>
      <c r="T42" s="388"/>
      <c r="U42" s="388"/>
      <c r="V42" s="388"/>
      <c r="W42" s="388"/>
      <c r="X42" s="391"/>
    </row>
    <row r="43" spans="1:24" ht="15.75" customHeight="1">
      <c r="A43" s="360"/>
      <c r="B43" s="38" t="s">
        <v>179</v>
      </c>
      <c r="C43" s="51"/>
      <c r="D43" s="51"/>
      <c r="E43" s="51"/>
      <c r="F43" s="51"/>
      <c r="G43" s="51" t="s">
        <v>148</v>
      </c>
      <c r="H43" s="379">
        <f>Bill!V24+Bill!V31</f>
        <v>1852</v>
      </c>
      <c r="I43" s="379"/>
      <c r="J43" s="379"/>
      <c r="K43" s="379"/>
      <c r="L43" s="390"/>
      <c r="M43" s="51">
        <v>16</v>
      </c>
      <c r="N43" s="51" t="s">
        <v>180</v>
      </c>
      <c r="O43" s="51"/>
      <c r="P43" s="51"/>
      <c r="Q43" s="51"/>
      <c r="R43" s="51"/>
      <c r="S43" s="51" t="s">
        <v>148</v>
      </c>
      <c r="T43" s="388"/>
      <c r="U43" s="388"/>
      <c r="V43" s="388"/>
      <c r="W43" s="388"/>
      <c r="X43" s="391"/>
    </row>
    <row r="44" spans="1:24" ht="15.75" customHeight="1">
      <c r="A44" s="360"/>
      <c r="B44" s="76" t="s">
        <v>181</v>
      </c>
      <c r="C44" s="51" t="s">
        <v>106</v>
      </c>
      <c r="D44" s="51"/>
      <c r="E44" s="51"/>
      <c r="F44" s="51"/>
      <c r="G44" s="51" t="s">
        <v>148</v>
      </c>
      <c r="H44" s="379">
        <f>Bill!W24+Bill!W31</f>
        <v>994</v>
      </c>
      <c r="I44" s="379"/>
      <c r="J44" s="379"/>
      <c r="K44" s="379"/>
      <c r="L44" s="390"/>
      <c r="M44" s="51">
        <v>17</v>
      </c>
      <c r="N44" s="51" t="s">
        <v>182</v>
      </c>
      <c r="O44" s="51"/>
      <c r="P44" s="51"/>
      <c r="Q44" s="51"/>
      <c r="R44" s="51"/>
      <c r="S44" s="51" t="s">
        <v>148</v>
      </c>
      <c r="T44" s="388"/>
      <c r="U44" s="388"/>
      <c r="V44" s="388"/>
      <c r="W44" s="388"/>
      <c r="X44" s="391"/>
    </row>
    <row r="45" spans="1:24" ht="15.75" customHeight="1">
      <c r="A45" s="360"/>
      <c r="B45" s="76" t="s">
        <v>183</v>
      </c>
      <c r="C45" s="51" t="s">
        <v>184</v>
      </c>
      <c r="D45" s="51"/>
      <c r="E45" s="51"/>
      <c r="F45" s="51"/>
      <c r="G45" s="51" t="s">
        <v>148</v>
      </c>
      <c r="H45" s="379"/>
      <c r="I45" s="379"/>
      <c r="J45" s="379"/>
      <c r="K45" s="379"/>
      <c r="L45" s="390"/>
      <c r="M45" s="51">
        <v>18</v>
      </c>
      <c r="N45" s="51" t="s">
        <v>185</v>
      </c>
      <c r="O45" s="51"/>
      <c r="P45" s="51"/>
      <c r="Q45" s="51"/>
      <c r="R45" s="51"/>
      <c r="S45" s="51" t="s">
        <v>148</v>
      </c>
      <c r="T45" s="388"/>
      <c r="U45" s="388"/>
      <c r="V45" s="388"/>
      <c r="W45" s="388"/>
      <c r="X45" s="391"/>
    </row>
    <row r="46" spans="1:24" ht="15.75" customHeight="1">
      <c r="A46" s="360"/>
      <c r="B46" s="38"/>
      <c r="C46" s="51"/>
      <c r="D46" s="51"/>
      <c r="E46" s="51"/>
      <c r="F46" s="51"/>
      <c r="G46" s="51" t="s">
        <v>148</v>
      </c>
      <c r="H46" s="388"/>
      <c r="I46" s="388"/>
      <c r="J46" s="388"/>
      <c r="K46" s="388"/>
      <c r="L46" s="389"/>
      <c r="M46" s="51">
        <v>19</v>
      </c>
      <c r="N46" s="51" t="s">
        <v>186</v>
      </c>
      <c r="O46" s="51"/>
      <c r="P46" s="51"/>
      <c r="Q46" s="51"/>
      <c r="R46" s="51"/>
      <c r="S46" s="51" t="s">
        <v>148</v>
      </c>
      <c r="T46" s="388"/>
      <c r="U46" s="388"/>
      <c r="V46" s="388"/>
      <c r="W46" s="388"/>
      <c r="X46" s="391"/>
    </row>
    <row r="47" spans="1:24" ht="15.75" customHeight="1">
      <c r="A47" s="360"/>
      <c r="B47" s="38"/>
      <c r="C47" s="51"/>
      <c r="D47" s="51"/>
      <c r="E47" s="51"/>
      <c r="F47" s="51"/>
      <c r="G47" s="51" t="s">
        <v>148</v>
      </c>
      <c r="H47" s="388"/>
      <c r="I47" s="388"/>
      <c r="J47" s="388"/>
      <c r="K47" s="388"/>
      <c r="L47" s="389"/>
      <c r="M47" s="51">
        <v>20</v>
      </c>
      <c r="N47" s="51" t="s">
        <v>187</v>
      </c>
      <c r="O47" s="51"/>
      <c r="P47" s="51"/>
      <c r="Q47" s="51"/>
      <c r="R47" s="51"/>
      <c r="S47" s="51" t="s">
        <v>148</v>
      </c>
      <c r="T47" s="55"/>
      <c r="U47" s="55"/>
      <c r="V47" s="379"/>
      <c r="W47" s="379"/>
      <c r="X47" s="396"/>
    </row>
    <row r="48" spans="1:24" ht="15.75" customHeight="1">
      <c r="A48" s="360"/>
      <c r="B48" s="38"/>
      <c r="C48" s="51"/>
      <c r="D48" s="77">
        <f>H56</f>
        <v>1504</v>
      </c>
      <c r="E48" s="51"/>
      <c r="F48" s="51"/>
      <c r="G48" s="51" t="s">
        <v>148</v>
      </c>
      <c r="H48" s="388"/>
      <c r="I48" s="388"/>
      <c r="J48" s="388"/>
      <c r="K48" s="388"/>
      <c r="L48" s="389"/>
      <c r="M48" s="51">
        <v>21</v>
      </c>
      <c r="N48" s="51" t="s">
        <v>125</v>
      </c>
      <c r="O48" s="51"/>
      <c r="P48" s="51"/>
      <c r="Q48" s="51"/>
      <c r="R48" s="51"/>
      <c r="S48" s="51" t="s">
        <v>148</v>
      </c>
      <c r="T48" s="380"/>
      <c r="U48" s="380"/>
      <c r="V48" s="380"/>
      <c r="W48" s="380"/>
      <c r="X48" s="394"/>
    </row>
    <row r="49" spans="1:24" ht="15.75" customHeight="1">
      <c r="A49" s="360"/>
      <c r="B49" s="38"/>
      <c r="C49" s="51"/>
      <c r="D49" s="51"/>
      <c r="E49" s="51"/>
      <c r="F49" s="51"/>
      <c r="G49" s="51" t="s">
        <v>148</v>
      </c>
      <c r="H49" s="388"/>
      <c r="I49" s="388"/>
      <c r="J49" s="388"/>
      <c r="K49" s="388"/>
      <c r="L49" s="389"/>
      <c r="M49" s="51">
        <v>22</v>
      </c>
      <c r="N49" s="51" t="s">
        <v>111</v>
      </c>
      <c r="O49" s="51"/>
      <c r="P49" s="51"/>
      <c r="Q49" s="51"/>
      <c r="R49" s="51"/>
      <c r="S49" s="51" t="s">
        <v>148</v>
      </c>
      <c r="T49" s="380"/>
      <c r="U49" s="380"/>
      <c r="V49" s="380"/>
      <c r="W49" s="380"/>
      <c r="X49" s="394"/>
    </row>
    <row r="50" spans="1:24" ht="15.75" customHeight="1">
      <c r="A50" s="360"/>
      <c r="B50" s="38"/>
      <c r="C50" s="51"/>
      <c r="D50" s="51"/>
      <c r="E50" s="51"/>
      <c r="F50" s="51"/>
      <c r="G50" s="51" t="s">
        <v>148</v>
      </c>
      <c r="H50" s="388"/>
      <c r="I50" s="388"/>
      <c r="J50" s="388"/>
      <c r="K50" s="388"/>
      <c r="L50" s="389"/>
      <c r="M50" s="51">
        <v>23</v>
      </c>
      <c r="N50" s="51"/>
      <c r="O50" s="51"/>
      <c r="P50" s="51"/>
      <c r="Q50" s="51"/>
      <c r="R50" s="51"/>
      <c r="S50" s="51" t="s">
        <v>148</v>
      </c>
      <c r="T50" s="388"/>
      <c r="U50" s="388"/>
      <c r="V50" s="388"/>
      <c r="W50" s="388"/>
      <c r="X50" s="391"/>
    </row>
    <row r="51" spans="1:24" ht="15.75" customHeight="1">
      <c r="A51" s="360"/>
      <c r="B51" s="38"/>
      <c r="C51" s="51"/>
      <c r="D51" s="51"/>
      <c r="E51" s="51"/>
      <c r="F51" s="51"/>
      <c r="G51" s="51" t="s">
        <v>148</v>
      </c>
      <c r="H51" s="388"/>
      <c r="I51" s="388"/>
      <c r="J51" s="388"/>
      <c r="K51" s="388"/>
      <c r="L51" s="389"/>
      <c r="M51" s="51">
        <v>24</v>
      </c>
      <c r="N51" s="51"/>
      <c r="O51" s="51"/>
      <c r="P51" s="51"/>
      <c r="Q51" s="51"/>
      <c r="R51" s="51"/>
      <c r="S51" s="51" t="s">
        <v>148</v>
      </c>
      <c r="T51" s="388"/>
      <c r="U51" s="388"/>
      <c r="V51" s="388"/>
      <c r="W51" s="388"/>
      <c r="X51" s="391"/>
    </row>
    <row r="52" spans="1:24" ht="15.75" customHeight="1" thickBot="1">
      <c r="A52" s="360"/>
      <c r="B52" s="38"/>
      <c r="C52" s="51"/>
      <c r="D52" s="51"/>
      <c r="E52" s="51"/>
      <c r="F52" s="51"/>
      <c r="G52" s="51" t="s">
        <v>148</v>
      </c>
      <c r="H52" s="388"/>
      <c r="I52" s="388"/>
      <c r="J52" s="388"/>
      <c r="K52" s="388"/>
      <c r="L52" s="389"/>
      <c r="M52" s="51">
        <v>25</v>
      </c>
      <c r="N52" s="51"/>
      <c r="O52" s="51"/>
      <c r="P52" s="51"/>
      <c r="Q52" s="51"/>
      <c r="R52" s="51"/>
      <c r="S52" s="51" t="s">
        <v>148</v>
      </c>
      <c r="T52" s="392"/>
      <c r="U52" s="392"/>
      <c r="V52" s="392"/>
      <c r="W52" s="392"/>
      <c r="X52" s="393"/>
    </row>
    <row r="53" spans="1:24" ht="15.75" customHeight="1" thickBot="1">
      <c r="A53" s="360"/>
      <c r="B53" s="38"/>
      <c r="C53" s="51"/>
      <c r="D53" s="51"/>
      <c r="E53" s="51"/>
      <c r="F53" s="51"/>
      <c r="G53" s="51" t="s">
        <v>148</v>
      </c>
      <c r="H53" s="395"/>
      <c r="I53" s="388"/>
      <c r="J53" s="388"/>
      <c r="K53" s="388"/>
      <c r="L53" s="389"/>
      <c r="M53" s="69" t="s">
        <v>188</v>
      </c>
      <c r="N53" s="69"/>
      <c r="O53" s="69"/>
      <c r="P53" s="69"/>
      <c r="Q53" s="69"/>
      <c r="R53" s="69"/>
      <c r="S53" s="69" t="s">
        <v>148</v>
      </c>
      <c r="T53" s="392">
        <f>V23+V25+V27+V29+V33+V47+T48+T49+T50+T51+T52</f>
        <v>10882</v>
      </c>
      <c r="U53" s="392"/>
      <c r="V53" s="392"/>
      <c r="W53" s="392"/>
      <c r="X53" s="393"/>
    </row>
    <row r="54" spans="1:24" ht="15.75" customHeight="1" thickBot="1">
      <c r="A54" s="360"/>
      <c r="B54" s="38" t="s">
        <v>189</v>
      </c>
      <c r="C54" s="51"/>
      <c r="D54" s="51"/>
      <c r="E54" s="51"/>
      <c r="F54" s="51"/>
      <c r="G54" s="51" t="s">
        <v>148</v>
      </c>
      <c r="H54" s="379">
        <f>H41+J42+H43+H44+H45</f>
        <v>12386</v>
      </c>
      <c r="I54" s="380"/>
      <c r="J54" s="380"/>
      <c r="K54" s="380"/>
      <c r="L54" s="381"/>
      <c r="M54" s="78" t="s">
        <v>190</v>
      </c>
      <c r="N54" s="78"/>
      <c r="O54" s="78"/>
      <c r="P54" s="78"/>
      <c r="Q54" s="78"/>
      <c r="R54" s="78"/>
      <c r="S54" s="79" t="s">
        <v>148</v>
      </c>
      <c r="T54" s="407"/>
      <c r="U54" s="407"/>
      <c r="V54" s="407"/>
      <c r="W54" s="407"/>
      <c r="X54" s="408"/>
    </row>
    <row r="55" spans="1:24" ht="15.75" customHeight="1">
      <c r="A55" s="360"/>
      <c r="B55" s="38" t="s">
        <v>191</v>
      </c>
      <c r="C55" s="51"/>
      <c r="D55" s="51"/>
      <c r="E55" s="51"/>
      <c r="F55" s="51"/>
      <c r="G55" s="51" t="s">
        <v>148</v>
      </c>
      <c r="H55" s="379">
        <f>T53</f>
        <v>10882</v>
      </c>
      <c r="I55" s="380"/>
      <c r="J55" s="380"/>
      <c r="K55" s="380"/>
      <c r="L55" s="381"/>
      <c r="M55" s="33"/>
      <c r="N55" s="409"/>
      <c r="O55" s="409"/>
      <c r="P55" s="409"/>
      <c r="Q55" s="409"/>
      <c r="R55" s="409"/>
      <c r="S55" s="409"/>
      <c r="T55" s="409"/>
      <c r="U55" s="409"/>
      <c r="V55" s="409"/>
      <c r="W55" s="409"/>
      <c r="X55" s="410"/>
    </row>
    <row r="56" spans="1:24" ht="15.75" customHeight="1">
      <c r="A56" s="397" t="s">
        <v>192</v>
      </c>
      <c r="B56" s="38" t="s">
        <v>193</v>
      </c>
      <c r="C56" s="51"/>
      <c r="D56" s="51"/>
      <c r="E56" s="51"/>
      <c r="F56" s="51"/>
      <c r="G56" s="51" t="s">
        <v>148</v>
      </c>
      <c r="H56" s="379">
        <f>H54-H55</f>
        <v>1504</v>
      </c>
      <c r="I56" s="380"/>
      <c r="J56" s="380"/>
      <c r="K56" s="380"/>
      <c r="L56" s="381"/>
      <c r="M56" s="33"/>
      <c r="N56" s="409"/>
      <c r="O56" s="409"/>
      <c r="P56" s="409"/>
      <c r="Q56" s="409"/>
      <c r="R56" s="409"/>
      <c r="S56" s="409"/>
      <c r="T56" s="409"/>
      <c r="U56" s="409"/>
      <c r="V56" s="409"/>
      <c r="W56" s="409"/>
      <c r="X56" s="410"/>
    </row>
    <row r="57" spans="1:24" ht="15.75" customHeight="1">
      <c r="A57" s="397"/>
      <c r="B57" s="38" t="s">
        <v>194</v>
      </c>
      <c r="C57" s="51"/>
      <c r="D57" s="51"/>
      <c r="E57" s="51"/>
      <c r="F57" s="51"/>
      <c r="G57" s="51"/>
      <c r="H57" s="398"/>
      <c r="I57" s="398"/>
      <c r="J57" s="398"/>
      <c r="K57" s="398"/>
      <c r="L57" s="399"/>
      <c r="M57" s="33"/>
      <c r="N57" s="409"/>
      <c r="O57" s="409"/>
      <c r="P57" s="409"/>
      <c r="Q57" s="409"/>
      <c r="R57" s="409"/>
      <c r="S57" s="409"/>
      <c r="T57" s="409"/>
      <c r="U57" s="409"/>
      <c r="V57" s="409"/>
      <c r="W57" s="409"/>
      <c r="X57" s="410"/>
    </row>
    <row r="58" spans="1:24" ht="15.75" customHeight="1">
      <c r="A58" s="397"/>
      <c r="B58" s="400"/>
      <c r="C58" s="401"/>
      <c r="D58" s="401"/>
      <c r="E58" s="401"/>
      <c r="F58" s="401"/>
      <c r="G58" s="401"/>
      <c r="H58" s="401"/>
      <c r="I58" s="401"/>
      <c r="J58" s="401"/>
      <c r="K58" s="401"/>
      <c r="L58" s="402"/>
      <c r="M58" s="33"/>
      <c r="N58" s="409"/>
      <c r="O58" s="409"/>
      <c r="P58" s="409"/>
      <c r="Q58" s="409"/>
      <c r="R58" s="409"/>
      <c r="S58" s="409"/>
      <c r="T58" s="409"/>
      <c r="U58" s="409"/>
      <c r="V58" s="409"/>
      <c r="W58" s="409"/>
      <c r="X58" s="410"/>
    </row>
    <row r="59" spans="1:24" ht="15.75" customHeight="1" thickBot="1">
      <c r="A59" s="397"/>
      <c r="B59" s="68"/>
      <c r="C59" s="69"/>
      <c r="D59" s="69"/>
      <c r="E59" s="69"/>
      <c r="F59" s="69"/>
      <c r="G59" s="69"/>
      <c r="H59" s="69"/>
      <c r="I59" s="69"/>
      <c r="J59" s="69"/>
      <c r="K59" s="69"/>
      <c r="L59" s="72"/>
      <c r="M59" s="80"/>
      <c r="N59" s="80"/>
      <c r="O59" s="80"/>
      <c r="P59" s="80"/>
      <c r="Q59" s="80"/>
      <c r="R59" s="80"/>
      <c r="S59" s="403" t="s">
        <v>195</v>
      </c>
      <c r="T59" s="403"/>
      <c r="U59" s="403"/>
      <c r="V59" s="403"/>
      <c r="W59" s="403"/>
      <c r="X59" s="81"/>
    </row>
    <row r="60" spans="1:24" ht="15.75" customHeight="1">
      <c r="A60" s="397"/>
      <c r="B60" s="404" t="s">
        <v>196</v>
      </c>
      <c r="C60" s="405"/>
      <c r="D60" s="405"/>
      <c r="E60" s="405"/>
      <c r="F60" s="405"/>
      <c r="G60" s="405"/>
      <c r="H60" s="405"/>
      <c r="I60" s="405"/>
      <c r="J60" s="405"/>
      <c r="K60" s="405"/>
      <c r="L60" s="405"/>
      <c r="M60" s="405"/>
      <c r="N60" s="405"/>
      <c r="O60" s="405"/>
      <c r="P60" s="405"/>
      <c r="Q60" s="405"/>
      <c r="R60" s="405"/>
      <c r="S60" s="405"/>
      <c r="T60" s="405"/>
      <c r="U60" s="405"/>
      <c r="V60" s="405"/>
      <c r="W60" s="405"/>
      <c r="X60" s="406"/>
    </row>
    <row r="61" spans="1:24" ht="15.75" customHeight="1">
      <c r="A61" s="397"/>
      <c r="B61" s="38" t="s">
        <v>197</v>
      </c>
      <c r="C61" s="51" t="s">
        <v>198</v>
      </c>
      <c r="D61" s="51"/>
      <c r="E61" s="51"/>
      <c r="F61" s="51"/>
      <c r="G61" s="51"/>
      <c r="H61" s="51" t="s">
        <v>199</v>
      </c>
      <c r="I61" s="51"/>
      <c r="J61" s="51"/>
      <c r="K61" s="51"/>
      <c r="L61" s="51"/>
      <c r="M61" s="51"/>
      <c r="N61" s="51"/>
      <c r="O61" s="51"/>
      <c r="P61" s="51"/>
      <c r="Q61" s="51"/>
      <c r="R61" s="51"/>
      <c r="S61" s="51"/>
      <c r="T61" s="51"/>
      <c r="U61" s="51"/>
      <c r="V61" s="51"/>
      <c r="W61" s="51"/>
      <c r="X61" s="82"/>
    </row>
    <row r="62" spans="1:24" ht="15.75" customHeight="1">
      <c r="A62" s="397"/>
      <c r="B62" s="76" t="s">
        <v>200</v>
      </c>
      <c r="C62" s="51"/>
      <c r="D62" s="51"/>
      <c r="E62" s="51"/>
      <c r="F62" s="51"/>
      <c r="G62" s="51"/>
      <c r="H62" s="51"/>
      <c r="I62" s="51"/>
      <c r="J62" s="51"/>
      <c r="K62" s="51"/>
      <c r="L62" s="51"/>
      <c r="M62" s="51"/>
      <c r="N62" s="51"/>
      <c r="O62" s="51"/>
      <c r="P62" s="51"/>
      <c r="Q62" s="51"/>
      <c r="R62" s="51"/>
      <c r="S62" s="51"/>
      <c r="T62" s="51"/>
      <c r="U62" s="51"/>
      <c r="V62" s="51"/>
      <c r="W62" s="51"/>
      <c r="X62" s="82"/>
    </row>
    <row r="63" spans="1:24" ht="15.75" customHeight="1">
      <c r="A63" s="397"/>
      <c r="B63" s="38" t="s">
        <v>201</v>
      </c>
      <c r="C63" s="51"/>
      <c r="D63" s="51"/>
      <c r="E63" s="51"/>
      <c r="F63" s="51"/>
      <c r="G63" s="51"/>
      <c r="H63" s="51"/>
      <c r="I63" s="51"/>
      <c r="J63" s="51"/>
      <c r="K63" s="51"/>
      <c r="L63" s="51"/>
      <c r="M63" s="51"/>
      <c r="N63" s="51"/>
      <c r="O63" s="51"/>
      <c r="P63" s="51"/>
      <c r="Q63" s="51"/>
      <c r="R63" s="51"/>
      <c r="S63" s="51"/>
      <c r="T63" s="51"/>
      <c r="U63" s="51"/>
      <c r="V63" s="51"/>
      <c r="W63" s="51"/>
      <c r="X63" s="82"/>
    </row>
    <row r="64" spans="1:24" ht="15.75" customHeight="1">
      <c r="A64" s="83"/>
      <c r="B64" s="76" t="s">
        <v>202</v>
      </c>
      <c r="C64" s="51"/>
      <c r="D64" s="51"/>
      <c r="E64" s="51"/>
      <c r="F64" s="51"/>
      <c r="G64" s="51"/>
      <c r="H64" s="51"/>
      <c r="I64" s="51"/>
      <c r="J64" s="51"/>
      <c r="K64" s="51"/>
      <c r="L64" s="51"/>
      <c r="M64" s="51"/>
      <c r="N64" s="51"/>
      <c r="O64" s="51"/>
      <c r="P64" s="51"/>
      <c r="Q64" s="51"/>
      <c r="R64" s="51"/>
      <c r="S64" s="51"/>
      <c r="T64" s="51"/>
      <c r="U64" s="51"/>
      <c r="V64" s="51"/>
      <c r="W64" s="51"/>
      <c r="X64" s="82"/>
    </row>
    <row r="65" spans="1:24" ht="15.75" customHeight="1">
      <c r="A65" s="83"/>
      <c r="B65" s="38"/>
      <c r="C65" s="51"/>
      <c r="D65" s="51"/>
      <c r="E65" s="51"/>
      <c r="F65" s="51"/>
      <c r="G65" s="51"/>
      <c r="H65" s="51"/>
      <c r="I65" s="51"/>
      <c r="J65" s="51"/>
      <c r="K65" s="51"/>
      <c r="L65" s="51"/>
      <c r="M65" s="51"/>
      <c r="N65" s="51"/>
      <c r="O65" s="51"/>
      <c r="P65" s="51"/>
      <c r="Q65" s="51"/>
      <c r="R65" s="51"/>
      <c r="S65" s="51"/>
      <c r="T65" s="51"/>
      <c r="U65" s="51"/>
      <c r="V65" s="51"/>
      <c r="W65" s="51"/>
      <c r="X65" s="82"/>
    </row>
    <row r="66" spans="1:24" ht="15.75" customHeight="1">
      <c r="A66" s="83"/>
      <c r="B66" s="38"/>
      <c r="C66" s="51"/>
      <c r="D66" s="51"/>
      <c r="E66" s="51" t="s">
        <v>203</v>
      </c>
      <c r="F66" s="51"/>
      <c r="G66" s="51"/>
      <c r="H66" s="51"/>
      <c r="I66" s="51"/>
      <c r="J66" s="51"/>
      <c r="K66" s="51"/>
      <c r="L66" s="51"/>
      <c r="M66" s="51"/>
      <c r="N66" s="51"/>
      <c r="O66" s="51"/>
      <c r="P66" s="51"/>
      <c r="Q66" s="51"/>
      <c r="R66" s="51"/>
      <c r="S66" s="51"/>
      <c r="T66" s="51"/>
      <c r="U66" s="51"/>
      <c r="V66" s="51"/>
      <c r="W66" s="51"/>
      <c r="X66" s="82"/>
    </row>
    <row r="67" spans="1:24" ht="21" customHeight="1">
      <c r="A67" s="83"/>
      <c r="B67" s="38"/>
      <c r="C67" s="51"/>
      <c r="D67" s="51"/>
      <c r="E67" s="51" t="s">
        <v>204</v>
      </c>
      <c r="F67" s="51"/>
      <c r="G67" s="51"/>
      <c r="H67" s="51"/>
      <c r="I67" s="51"/>
      <c r="J67" s="51"/>
      <c r="K67" s="51"/>
      <c r="L67" s="51"/>
      <c r="M67" s="51"/>
      <c r="N67" s="51"/>
      <c r="O67" s="51"/>
      <c r="P67" s="51"/>
      <c r="Q67" s="51"/>
      <c r="R67" s="51"/>
      <c r="S67" s="51"/>
      <c r="T67" s="51"/>
      <c r="U67" s="51"/>
      <c r="V67" s="51"/>
      <c r="W67" s="51"/>
      <c r="X67" s="82"/>
    </row>
    <row r="68" spans="1:24" ht="15.75" customHeight="1">
      <c r="A68" s="84"/>
      <c r="B68" s="38"/>
      <c r="C68" s="51"/>
      <c r="D68" s="51"/>
      <c r="E68" s="51"/>
      <c r="F68" s="51"/>
      <c r="G68" s="51"/>
      <c r="H68" s="51"/>
      <c r="I68" s="51"/>
      <c r="J68" s="51"/>
      <c r="K68" s="51"/>
      <c r="L68" s="51"/>
      <c r="M68" s="51"/>
      <c r="N68" s="51"/>
      <c r="O68" s="51"/>
      <c r="P68" s="51"/>
      <c r="Q68" s="51"/>
      <c r="R68" s="51"/>
      <c r="S68" s="51"/>
      <c r="T68" s="51"/>
      <c r="U68" s="51"/>
      <c r="V68" s="51"/>
      <c r="W68" s="51"/>
      <c r="X68" s="82"/>
    </row>
    <row r="69" spans="1:24" ht="15.75" customHeight="1">
      <c r="A69" s="84"/>
      <c r="B69" s="38"/>
      <c r="C69" s="51"/>
      <c r="D69" s="51"/>
      <c r="E69" s="51"/>
      <c r="F69" s="51"/>
      <c r="G69" s="51"/>
      <c r="H69" s="51"/>
      <c r="I69" s="51"/>
      <c r="J69" s="51"/>
      <c r="K69" s="51"/>
      <c r="L69" s="51"/>
      <c r="M69" s="51"/>
      <c r="N69" s="51"/>
      <c r="O69" s="51" t="s">
        <v>205</v>
      </c>
      <c r="P69" s="51"/>
      <c r="Q69" s="51"/>
      <c r="R69" s="51"/>
      <c r="S69" s="51"/>
      <c r="T69" s="51"/>
      <c r="U69" s="51"/>
      <c r="V69" s="51"/>
      <c r="W69" s="51"/>
      <c r="X69" s="82"/>
    </row>
    <row r="70" spans="1:24" ht="15.75" customHeight="1">
      <c r="A70" s="84"/>
      <c r="B70" s="85"/>
      <c r="C70" s="86"/>
      <c r="D70" s="86"/>
      <c r="E70" s="86"/>
      <c r="F70" s="86"/>
      <c r="G70" s="86"/>
      <c r="H70" s="86"/>
      <c r="I70" s="86"/>
      <c r="J70" s="86"/>
      <c r="K70" s="86"/>
      <c r="L70" s="86"/>
      <c r="M70" s="86"/>
      <c r="N70" s="86"/>
      <c r="O70" s="86"/>
      <c r="P70" s="86"/>
      <c r="Q70" s="86"/>
      <c r="R70" s="86"/>
      <c r="S70" s="86"/>
      <c r="T70" s="86"/>
      <c r="U70" s="86"/>
      <c r="V70" s="86"/>
      <c r="W70" s="86"/>
      <c r="X70" s="87"/>
    </row>
    <row r="71" spans="1:24" ht="14.25">
      <c r="A71" s="84"/>
      <c r="B71" s="85"/>
      <c r="C71" s="86"/>
      <c r="D71" s="86" t="s">
        <v>206</v>
      </c>
      <c r="E71" s="86"/>
      <c r="F71" s="86"/>
      <c r="G71" s="86"/>
      <c r="H71" s="86"/>
      <c r="I71" s="86"/>
      <c r="J71" s="86"/>
      <c r="K71" s="86"/>
      <c r="L71" s="86"/>
      <c r="M71" s="86"/>
      <c r="N71" s="86"/>
      <c r="O71" s="86"/>
      <c r="P71" s="86"/>
      <c r="Q71" s="86"/>
      <c r="R71" s="86"/>
      <c r="S71" s="86"/>
      <c r="T71" s="86"/>
      <c r="U71" s="86"/>
      <c r="V71" s="86"/>
      <c r="W71" s="86"/>
      <c r="X71" s="87"/>
    </row>
    <row r="72" spans="1:24" ht="14.25" customHeight="1">
      <c r="A72" s="84"/>
      <c r="B72" s="85"/>
      <c r="C72" s="88" t="s">
        <v>207</v>
      </c>
      <c r="D72" s="86"/>
      <c r="E72" s="86"/>
      <c r="F72" s="86"/>
      <c r="G72" s="86"/>
      <c r="H72" s="86"/>
      <c r="I72" s="86"/>
      <c r="J72" s="86"/>
      <c r="K72" s="86"/>
      <c r="L72" s="86"/>
      <c r="M72" s="86"/>
      <c r="N72" s="86"/>
      <c r="O72" s="86"/>
      <c r="P72" s="86"/>
      <c r="Q72" s="86"/>
      <c r="R72" s="86"/>
      <c r="S72" s="86"/>
      <c r="T72" s="86"/>
      <c r="U72" s="86"/>
      <c r="V72" s="86"/>
      <c r="W72" s="86"/>
      <c r="X72" s="87"/>
    </row>
    <row r="73" spans="1:24" ht="14.25">
      <c r="A73" s="84"/>
      <c r="B73" s="85"/>
      <c r="C73" s="86"/>
      <c r="D73" s="86"/>
      <c r="E73" s="86"/>
      <c r="F73" s="86"/>
      <c r="G73" s="86"/>
      <c r="H73" s="86"/>
      <c r="I73" s="86"/>
      <c r="J73" s="86"/>
      <c r="K73" s="86"/>
      <c r="L73" s="86"/>
      <c r="M73" s="86"/>
      <c r="N73" s="86"/>
      <c r="O73" s="86"/>
      <c r="P73" s="86"/>
      <c r="Q73" s="86"/>
      <c r="R73" s="86"/>
      <c r="S73" s="86"/>
      <c r="T73" s="86"/>
      <c r="U73" s="86"/>
      <c r="V73" s="86"/>
      <c r="W73" s="86"/>
      <c r="X73" s="87"/>
    </row>
    <row r="74" spans="1:24" ht="14.25">
      <c r="A74" s="84"/>
      <c r="B74" s="85"/>
      <c r="C74" s="86"/>
      <c r="D74" s="86"/>
      <c r="E74" s="86"/>
      <c r="F74" s="86"/>
      <c r="G74" s="86"/>
      <c r="H74" s="86"/>
      <c r="I74" s="86"/>
      <c r="J74" s="86"/>
      <c r="K74" s="86"/>
      <c r="L74" s="86"/>
      <c r="M74" s="86"/>
      <c r="N74" s="86"/>
      <c r="O74" s="86"/>
      <c r="P74" s="86"/>
      <c r="Q74" s="86"/>
      <c r="R74" s="86"/>
      <c r="S74" s="86"/>
      <c r="T74" s="86"/>
      <c r="U74" s="86"/>
      <c r="V74" s="86"/>
      <c r="W74" s="86"/>
      <c r="X74" s="87"/>
    </row>
    <row r="75" spans="1:24" ht="14.25">
      <c r="A75" s="84"/>
      <c r="B75" s="89"/>
      <c r="C75" s="90"/>
      <c r="D75" s="90"/>
      <c r="E75" s="90"/>
      <c r="F75" s="90"/>
      <c r="G75" s="90"/>
      <c r="H75" s="90"/>
      <c r="I75" s="90"/>
      <c r="J75" s="90"/>
      <c r="K75" s="90"/>
      <c r="L75" s="90"/>
      <c r="M75" s="90"/>
      <c r="N75" s="90"/>
      <c r="O75" s="90"/>
      <c r="P75" s="90"/>
      <c r="Q75" s="90"/>
      <c r="R75" s="90"/>
      <c r="S75" s="90"/>
      <c r="T75" s="90"/>
      <c r="U75" s="90"/>
      <c r="V75" s="90"/>
      <c r="W75" s="90"/>
      <c r="X75" s="91"/>
    </row>
  </sheetData>
  <sheetProtection/>
  <mergeCells count="64">
    <mergeCell ref="A1:A55"/>
    <mergeCell ref="T22:X22"/>
    <mergeCell ref="V23:X23"/>
    <mergeCell ref="B5:E5"/>
    <mergeCell ref="B7:E7"/>
    <mergeCell ref="B9:E9"/>
    <mergeCell ref="F9:J9"/>
    <mergeCell ref="Q18:X18"/>
    <mergeCell ref="Q19:X19"/>
    <mergeCell ref="F11:N11"/>
    <mergeCell ref="V25:X25"/>
    <mergeCell ref="H24:K24"/>
    <mergeCell ref="V27:X27"/>
    <mergeCell ref="V29:X29"/>
    <mergeCell ref="T31:X31"/>
    <mergeCell ref="V33:X33"/>
    <mergeCell ref="G26:K26"/>
    <mergeCell ref="T34:X34"/>
    <mergeCell ref="T35:X35"/>
    <mergeCell ref="T36:X36"/>
    <mergeCell ref="T37:X37"/>
    <mergeCell ref="T42:X42"/>
    <mergeCell ref="T38:X38"/>
    <mergeCell ref="T39:X39"/>
    <mergeCell ref="T40:X40"/>
    <mergeCell ref="T41:X41"/>
    <mergeCell ref="B4:X4"/>
    <mergeCell ref="S59:W59"/>
    <mergeCell ref="B60:X60"/>
    <mergeCell ref="T54:X54"/>
    <mergeCell ref="H52:L52"/>
    <mergeCell ref="N55:X58"/>
    <mergeCell ref="J42:L42"/>
    <mergeCell ref="H49:L49"/>
    <mergeCell ref="T49:X49"/>
    <mergeCell ref="H50:L50"/>
    <mergeCell ref="A56:A63"/>
    <mergeCell ref="H56:L56"/>
    <mergeCell ref="H57:L57"/>
    <mergeCell ref="B58:L58"/>
    <mergeCell ref="H53:L53"/>
    <mergeCell ref="T53:X53"/>
    <mergeCell ref="H46:L46"/>
    <mergeCell ref="V47:X47"/>
    <mergeCell ref="T50:X50"/>
    <mergeCell ref="H48:L48"/>
    <mergeCell ref="T45:X45"/>
    <mergeCell ref="H41:L41"/>
    <mergeCell ref="T52:X52"/>
    <mergeCell ref="T48:X48"/>
    <mergeCell ref="H43:L43"/>
    <mergeCell ref="T43:X43"/>
    <mergeCell ref="H44:L44"/>
    <mergeCell ref="T44:X44"/>
    <mergeCell ref="H54:L54"/>
    <mergeCell ref="H55:L55"/>
    <mergeCell ref="B1:X1"/>
    <mergeCell ref="B2:X2"/>
    <mergeCell ref="B3:X3"/>
    <mergeCell ref="H51:L51"/>
    <mergeCell ref="H45:L45"/>
    <mergeCell ref="T46:X46"/>
    <mergeCell ref="H47:L47"/>
    <mergeCell ref="T51:X51"/>
  </mergeCells>
  <printOptions/>
  <pageMargins left="0.32" right="0.27" top="0.35" bottom="0.75" header="0.3" footer="0.3"/>
  <pageSetup horizontalDpi="300" verticalDpi="300" orientation="portrait" paperSize="5" scale="75" r:id="rId2"/>
  <drawing r:id="rId1"/>
</worksheet>
</file>

<file path=xl/worksheets/sheet5.xml><?xml version="1.0" encoding="utf-8"?>
<worksheet xmlns="http://schemas.openxmlformats.org/spreadsheetml/2006/main" xmlns:r="http://schemas.openxmlformats.org/officeDocument/2006/relationships">
  <dimension ref="A1:R98"/>
  <sheetViews>
    <sheetView zoomScalePageLayoutView="0" workbookViewId="0" topLeftCell="A19">
      <selection activeCell="D11" sqref="D11"/>
    </sheetView>
  </sheetViews>
  <sheetFormatPr defaultColWidth="9.140625" defaultRowHeight="15"/>
  <cols>
    <col min="1" max="1" width="4.8515625" style="0" customWidth="1"/>
    <col min="2" max="2" width="12.57421875" style="0" customWidth="1"/>
    <col min="3" max="3" width="11.8515625" style="0" customWidth="1"/>
    <col min="4" max="4" width="12.140625" style="0" customWidth="1"/>
    <col min="5" max="5" width="7.28125" style="0" customWidth="1"/>
    <col min="6" max="6" width="7.8515625" style="0" customWidth="1"/>
    <col min="7" max="7" width="7.140625" style="0" customWidth="1"/>
    <col min="8" max="8" width="7.00390625" style="0" customWidth="1"/>
    <col min="9" max="9" width="5.140625" style="0" customWidth="1"/>
    <col min="10" max="10" width="6.421875" style="0" customWidth="1"/>
    <col min="11" max="11" width="17.421875" style="0" customWidth="1"/>
  </cols>
  <sheetData>
    <row r="1" spans="1:11" ht="18.75" thickTop="1">
      <c r="A1" s="428" t="s">
        <v>210</v>
      </c>
      <c r="B1" s="429"/>
      <c r="C1" s="429"/>
      <c r="D1" s="429"/>
      <c r="E1" s="429"/>
      <c r="F1" s="429"/>
      <c r="G1" s="429"/>
      <c r="H1" s="429"/>
      <c r="I1" s="429"/>
      <c r="J1" s="429"/>
      <c r="K1" s="430"/>
    </row>
    <row r="2" spans="1:11" ht="21.75" customHeight="1">
      <c r="A2" s="94"/>
      <c r="B2" s="95"/>
      <c r="C2" s="95"/>
      <c r="D2" s="95"/>
      <c r="E2" s="95"/>
      <c r="F2" s="95"/>
      <c r="G2" s="95"/>
      <c r="H2" s="95"/>
      <c r="I2" s="95"/>
      <c r="J2" s="95"/>
      <c r="K2" s="96"/>
    </row>
    <row r="3" spans="1:11" ht="21.75" customHeight="1">
      <c r="A3" s="97" t="s">
        <v>211</v>
      </c>
      <c r="B3" s="98" t="s">
        <v>212</v>
      </c>
      <c r="C3" s="95"/>
      <c r="D3" s="95"/>
      <c r="E3" s="95"/>
      <c r="F3" s="95"/>
      <c r="G3" s="95"/>
      <c r="H3" s="95" t="s">
        <v>148</v>
      </c>
      <c r="I3" s="95"/>
      <c r="J3" s="95"/>
      <c r="K3" s="96"/>
    </row>
    <row r="4" spans="1:11" ht="21.75" customHeight="1">
      <c r="A4" s="97" t="s">
        <v>213</v>
      </c>
      <c r="B4" s="95" t="s">
        <v>214</v>
      </c>
      <c r="C4" s="95"/>
      <c r="D4" s="95"/>
      <c r="E4" s="95"/>
      <c r="F4" s="95"/>
      <c r="G4" s="95"/>
      <c r="H4" s="95" t="s">
        <v>148</v>
      </c>
      <c r="I4" s="95"/>
      <c r="J4" s="95"/>
      <c r="K4" s="96"/>
    </row>
    <row r="5" spans="1:11" ht="21.75" customHeight="1">
      <c r="A5" s="97" t="s">
        <v>215</v>
      </c>
      <c r="B5" s="95" t="s">
        <v>216</v>
      </c>
      <c r="C5" s="95"/>
      <c r="D5" s="95"/>
      <c r="E5" s="95"/>
      <c r="F5" s="95"/>
      <c r="G5" s="95"/>
      <c r="H5" s="95" t="s">
        <v>148</v>
      </c>
      <c r="I5" s="95"/>
      <c r="J5" s="95"/>
      <c r="K5" s="96"/>
    </row>
    <row r="6" spans="1:11" ht="21.75" customHeight="1">
      <c r="A6" s="94"/>
      <c r="B6" s="95"/>
      <c r="C6" s="95"/>
      <c r="D6" s="95"/>
      <c r="E6" s="95"/>
      <c r="F6" s="95"/>
      <c r="G6" s="95"/>
      <c r="H6" s="95"/>
      <c r="I6" s="95"/>
      <c r="J6" s="95"/>
      <c r="K6" s="96"/>
    </row>
    <row r="7" spans="1:11" ht="21.75" customHeight="1">
      <c r="A7" s="94"/>
      <c r="B7" s="95"/>
      <c r="C7" s="95"/>
      <c r="D7" s="95"/>
      <c r="E7" s="95"/>
      <c r="F7" s="95"/>
      <c r="G7" s="95"/>
      <c r="H7" s="95"/>
      <c r="I7" s="95"/>
      <c r="J7" s="95"/>
      <c r="K7" s="96"/>
    </row>
    <row r="8" spans="1:11" ht="21.75" customHeight="1">
      <c r="A8" s="94"/>
      <c r="B8" s="95"/>
      <c r="C8" s="95"/>
      <c r="D8" s="95"/>
      <c r="E8" s="95"/>
      <c r="F8" s="95"/>
      <c r="G8" s="95"/>
      <c r="H8" s="95"/>
      <c r="I8" s="95"/>
      <c r="J8" s="95"/>
      <c r="K8" s="96"/>
    </row>
    <row r="9" spans="1:11" ht="21.75" customHeight="1">
      <c r="A9" s="99"/>
      <c r="B9" s="100"/>
      <c r="C9" s="100"/>
      <c r="D9" s="100"/>
      <c r="E9" s="100"/>
      <c r="F9" s="100"/>
      <c r="G9" s="100" t="s">
        <v>217</v>
      </c>
      <c r="H9" s="100"/>
      <c r="I9" s="100"/>
      <c r="J9" s="100"/>
      <c r="K9" s="101"/>
    </row>
    <row r="10" spans="1:11" ht="21.75" customHeight="1">
      <c r="A10" s="102"/>
      <c r="B10" s="95"/>
      <c r="C10" s="95"/>
      <c r="D10" s="95"/>
      <c r="E10" s="95"/>
      <c r="F10" s="95"/>
      <c r="G10" s="95"/>
      <c r="H10" s="95"/>
      <c r="I10" s="95"/>
      <c r="J10" s="95"/>
      <c r="K10" s="96"/>
    </row>
    <row r="11" spans="1:11" ht="21.75" customHeight="1">
      <c r="A11" s="94" t="s">
        <v>218</v>
      </c>
      <c r="B11" s="44"/>
      <c r="C11" s="103">
        <f>'FORM 47'!H56</f>
        <v>1504</v>
      </c>
      <c r="D11" s="104"/>
      <c r="E11" s="105"/>
      <c r="F11" s="44"/>
      <c r="G11" s="104"/>
      <c r="H11" s="95"/>
      <c r="I11" s="106"/>
      <c r="J11" s="95"/>
      <c r="K11" s="96"/>
    </row>
    <row r="12" spans="1:11" ht="21.75" customHeight="1">
      <c r="A12" s="107" t="s">
        <v>219</v>
      </c>
      <c r="B12" s="44"/>
      <c r="C12" s="95"/>
      <c r="D12" s="95"/>
      <c r="E12" s="95"/>
      <c r="F12" s="95"/>
      <c r="G12" s="95"/>
      <c r="H12" s="95"/>
      <c r="I12" s="95"/>
      <c r="J12" s="95"/>
      <c r="K12" s="96"/>
    </row>
    <row r="13" spans="1:11" ht="21.75" customHeight="1">
      <c r="A13" s="94"/>
      <c r="B13" s="95"/>
      <c r="C13" s="95"/>
      <c r="D13" s="95"/>
      <c r="E13" s="95"/>
      <c r="F13" s="95"/>
      <c r="G13" s="95"/>
      <c r="H13" s="95"/>
      <c r="I13" s="95"/>
      <c r="J13" s="95"/>
      <c r="K13" s="96"/>
    </row>
    <row r="14" spans="1:11" ht="21.75" customHeight="1">
      <c r="A14" s="94"/>
      <c r="B14" s="95" t="s">
        <v>220</v>
      </c>
      <c r="C14" s="95"/>
      <c r="D14" s="95"/>
      <c r="E14" s="95"/>
      <c r="F14" s="95"/>
      <c r="G14" s="95"/>
      <c r="H14" s="95"/>
      <c r="I14" s="95"/>
      <c r="J14" s="95"/>
      <c r="K14" s="96"/>
    </row>
    <row r="15" spans="1:11" ht="21.75" customHeight="1">
      <c r="A15" s="94"/>
      <c r="B15" s="95"/>
      <c r="C15" s="95"/>
      <c r="D15" s="95"/>
      <c r="E15" s="95"/>
      <c r="F15" s="95"/>
      <c r="G15" s="95"/>
      <c r="H15" s="95"/>
      <c r="I15" s="95"/>
      <c r="J15" s="95"/>
      <c r="K15" s="96"/>
    </row>
    <row r="16" spans="1:11" ht="21.75" customHeight="1">
      <c r="A16" s="94"/>
      <c r="B16" s="95"/>
      <c r="C16" s="95"/>
      <c r="D16" s="95"/>
      <c r="E16" s="95"/>
      <c r="F16" s="95"/>
      <c r="G16" s="95"/>
      <c r="H16" s="95"/>
      <c r="I16" s="95"/>
      <c r="J16" s="95"/>
      <c r="K16" s="96"/>
    </row>
    <row r="17" spans="1:11" ht="21.75" customHeight="1" thickBot="1">
      <c r="A17" s="108"/>
      <c r="B17" s="109" t="s">
        <v>217</v>
      </c>
      <c r="C17" s="109"/>
      <c r="D17" s="109"/>
      <c r="E17" s="109"/>
      <c r="F17" s="109"/>
      <c r="G17" s="109"/>
      <c r="H17" s="109"/>
      <c r="I17" s="109" t="s">
        <v>217</v>
      </c>
      <c r="J17" s="109"/>
      <c r="K17" s="110"/>
    </row>
    <row r="18" spans="1:11" ht="24.75" customHeight="1">
      <c r="A18" s="111"/>
      <c r="B18" s="44"/>
      <c r="C18" s="44"/>
      <c r="D18" s="112" t="s">
        <v>221</v>
      </c>
      <c r="E18" s="95"/>
      <c r="F18" s="95"/>
      <c r="G18" s="95"/>
      <c r="H18" s="95"/>
      <c r="I18" s="44"/>
      <c r="J18" s="44"/>
      <c r="K18" s="113"/>
    </row>
    <row r="19" spans="1:12" ht="21.75" customHeight="1">
      <c r="A19" s="114"/>
      <c r="B19" s="44"/>
      <c r="C19" s="44">
        <v>1</v>
      </c>
      <c r="D19" s="115" t="s">
        <v>222</v>
      </c>
      <c r="E19" s="44"/>
      <c r="F19" s="116"/>
      <c r="G19" s="116"/>
      <c r="H19" s="116"/>
      <c r="I19" s="116"/>
      <c r="J19" s="116"/>
      <c r="K19" s="117"/>
      <c r="L19" s="44"/>
    </row>
    <row r="20" spans="1:13" ht="21.75" customHeight="1">
      <c r="A20" s="114"/>
      <c r="B20" s="44"/>
      <c r="C20" s="44"/>
      <c r="D20" s="115" t="s">
        <v>223</v>
      </c>
      <c r="E20" s="44"/>
      <c r="F20" s="95"/>
      <c r="G20" s="95"/>
      <c r="H20" s="95"/>
      <c r="I20" s="118"/>
      <c r="J20" s="95"/>
      <c r="K20" s="117"/>
      <c r="L20" s="44"/>
      <c r="M20" s="44"/>
    </row>
    <row r="21" spans="1:13" ht="23.25" customHeight="1">
      <c r="A21" s="114"/>
      <c r="B21" s="44"/>
      <c r="C21" s="119">
        <v>2</v>
      </c>
      <c r="D21" s="434" t="s">
        <v>224</v>
      </c>
      <c r="E21" s="434"/>
      <c r="F21" s="434"/>
      <c r="G21" s="434"/>
      <c r="H21" s="434"/>
      <c r="I21" s="434"/>
      <c r="J21" s="434"/>
      <c r="K21" s="435"/>
      <c r="L21" s="44"/>
      <c r="M21" s="44"/>
    </row>
    <row r="22" spans="1:12" ht="15" customHeight="1">
      <c r="A22" s="114"/>
      <c r="B22" s="44"/>
      <c r="C22" s="119">
        <v>3</v>
      </c>
      <c r="D22" s="119" t="s">
        <v>225</v>
      </c>
      <c r="E22" s="120"/>
      <c r="F22" s="120"/>
      <c r="G22" s="120"/>
      <c r="H22" s="120"/>
      <c r="I22" s="120"/>
      <c r="J22" s="120"/>
      <c r="K22" s="121"/>
      <c r="L22" s="44"/>
    </row>
    <row r="23" spans="1:11" ht="15.75" customHeight="1">
      <c r="A23" s="114"/>
      <c r="B23" s="44"/>
      <c r="C23" s="44"/>
      <c r="D23" s="95" t="s">
        <v>226</v>
      </c>
      <c r="E23" s="44"/>
      <c r="F23" s="44"/>
      <c r="G23" s="122"/>
      <c r="H23" s="120"/>
      <c r="I23" s="120"/>
      <c r="J23" s="123"/>
      <c r="K23" s="124"/>
    </row>
    <row r="24" spans="1:15" ht="15" customHeight="1">
      <c r="A24" s="114"/>
      <c r="B24" s="44"/>
      <c r="C24" s="44">
        <v>4</v>
      </c>
      <c r="D24" s="44" t="s">
        <v>227</v>
      </c>
      <c r="E24" s="44"/>
      <c r="F24" s="44"/>
      <c r="G24" s="122"/>
      <c r="H24" s="122"/>
      <c r="I24" s="122"/>
      <c r="J24" s="123"/>
      <c r="K24" s="124"/>
      <c r="M24" s="44"/>
      <c r="N24" s="44"/>
      <c r="O24" s="44"/>
    </row>
    <row r="25" spans="1:13" ht="15" customHeight="1">
      <c r="A25" s="114"/>
      <c r="B25" s="44"/>
      <c r="C25" s="44"/>
      <c r="D25" s="125" t="s">
        <v>228</v>
      </c>
      <c r="E25" s="44"/>
      <c r="F25" s="44"/>
      <c r="G25" s="122"/>
      <c r="H25" s="122"/>
      <c r="I25" s="122"/>
      <c r="J25" s="123"/>
      <c r="K25" s="124"/>
      <c r="M25" s="44"/>
    </row>
    <row r="26" spans="1:13" ht="14.25" customHeight="1">
      <c r="A26" s="107"/>
      <c r="B26" s="44"/>
      <c r="C26" s="44">
        <v>5</v>
      </c>
      <c r="D26" s="125" t="s">
        <v>229</v>
      </c>
      <c r="E26" s="44"/>
      <c r="F26" s="44"/>
      <c r="G26" s="122"/>
      <c r="H26" s="122"/>
      <c r="I26" s="122"/>
      <c r="J26" s="122"/>
      <c r="K26" s="124"/>
      <c r="M26" s="44"/>
    </row>
    <row r="27" spans="1:11" ht="18.75" customHeight="1">
      <c r="A27" s="107"/>
      <c r="B27" s="126"/>
      <c r="C27" s="122"/>
      <c r="D27" s="364" t="s">
        <v>228</v>
      </c>
      <c r="E27" s="364"/>
      <c r="F27" s="364"/>
      <c r="G27" s="364"/>
      <c r="H27" s="122"/>
      <c r="I27" s="122"/>
      <c r="J27" s="122"/>
      <c r="K27" s="124"/>
    </row>
    <row r="28" spans="1:11" ht="14.25" customHeight="1">
      <c r="A28" s="114"/>
      <c r="B28" s="44"/>
      <c r="C28" s="44">
        <v>6</v>
      </c>
      <c r="D28" s="125" t="s">
        <v>230</v>
      </c>
      <c r="E28" s="44"/>
      <c r="F28" s="44"/>
      <c r="G28" s="122"/>
      <c r="H28" s="122"/>
      <c r="I28" s="122"/>
      <c r="J28" s="122"/>
      <c r="K28" s="124"/>
    </row>
    <row r="29" spans="1:11" ht="18.75" customHeight="1">
      <c r="A29" s="114"/>
      <c r="B29" s="44"/>
      <c r="C29" s="44"/>
      <c r="D29" s="364" t="s">
        <v>228</v>
      </c>
      <c r="E29" s="364"/>
      <c r="F29" s="364"/>
      <c r="G29" s="364"/>
      <c r="H29" s="126"/>
      <c r="I29" s="126"/>
      <c r="J29" s="126"/>
      <c r="K29" s="127"/>
    </row>
    <row r="30" spans="1:11" ht="15" customHeight="1">
      <c r="A30" s="114"/>
      <c r="B30" s="44"/>
      <c r="C30" s="119">
        <v>7</v>
      </c>
      <c r="D30" s="128" t="s">
        <v>231</v>
      </c>
      <c r="E30" s="44"/>
      <c r="F30" s="44"/>
      <c r="G30" s="122"/>
      <c r="K30" s="117"/>
    </row>
    <row r="31" spans="1:11" ht="20.25" customHeight="1">
      <c r="A31" s="114"/>
      <c r="B31" s="44"/>
      <c r="C31" s="119"/>
      <c r="D31" s="368" t="s">
        <v>232</v>
      </c>
      <c r="E31" s="368"/>
      <c r="F31" s="368"/>
      <c r="G31" s="368"/>
      <c r="K31" s="117"/>
    </row>
    <row r="32" spans="1:18" ht="33" customHeight="1">
      <c r="A32" s="129"/>
      <c r="B32" s="130"/>
      <c r="C32" s="5">
        <v>8</v>
      </c>
      <c r="D32" s="368" t="s">
        <v>233</v>
      </c>
      <c r="E32" s="368"/>
      <c r="F32" s="368"/>
      <c r="G32" s="368"/>
      <c r="H32" s="368"/>
      <c r="I32" s="368"/>
      <c r="J32" s="368"/>
      <c r="K32" s="433"/>
      <c r="R32" s="44"/>
    </row>
    <row r="33" spans="1:11" ht="14.25" customHeight="1">
      <c r="A33" s="131"/>
      <c r="B33" s="132"/>
      <c r="C33" s="130">
        <v>9</v>
      </c>
      <c r="D33" s="128" t="s">
        <v>234</v>
      </c>
      <c r="E33" s="44"/>
      <c r="F33" s="44"/>
      <c r="G33" s="122"/>
      <c r="H33" s="122"/>
      <c r="I33" s="122"/>
      <c r="J33" s="122"/>
      <c r="K33" s="124"/>
    </row>
    <row r="34" spans="1:13" ht="17.25" customHeight="1">
      <c r="A34" s="133"/>
      <c r="B34" s="134"/>
      <c r="C34" s="118"/>
      <c r="D34" s="368" t="s">
        <v>235</v>
      </c>
      <c r="E34" s="368"/>
      <c r="F34" s="368"/>
      <c r="G34" s="368"/>
      <c r="H34" s="368"/>
      <c r="I34" s="368"/>
      <c r="J34" s="368"/>
      <c r="K34" s="433"/>
      <c r="M34" s="44"/>
    </row>
    <row r="35" spans="1:13" ht="28.5" customHeight="1">
      <c r="A35" s="131"/>
      <c r="B35" s="123"/>
      <c r="C35" s="135">
        <v>10</v>
      </c>
      <c r="D35" s="364" t="s">
        <v>236</v>
      </c>
      <c r="E35" s="364"/>
      <c r="F35" s="364"/>
      <c r="G35" s="364"/>
      <c r="H35" s="364"/>
      <c r="I35" s="364"/>
      <c r="J35" s="364"/>
      <c r="K35" s="436"/>
      <c r="L35" s="44"/>
      <c r="M35" s="44"/>
    </row>
    <row r="36" spans="1:13" ht="17.25" customHeight="1">
      <c r="A36" s="136"/>
      <c r="B36" s="134"/>
      <c r="C36" s="137">
        <v>11</v>
      </c>
      <c r="D36" s="95" t="s">
        <v>237</v>
      </c>
      <c r="E36" s="95"/>
      <c r="F36" s="95"/>
      <c r="G36" s="95"/>
      <c r="H36" s="95"/>
      <c r="I36" s="95"/>
      <c r="J36" s="95"/>
      <c r="K36" s="96"/>
      <c r="L36" s="44"/>
      <c r="M36" s="44"/>
    </row>
    <row r="37" spans="1:12" ht="16.5" customHeight="1">
      <c r="A37" s="138"/>
      <c r="B37" s="134"/>
      <c r="C37" s="123"/>
      <c r="D37" s="95" t="s">
        <v>238</v>
      </c>
      <c r="E37" s="95"/>
      <c r="F37" s="95"/>
      <c r="G37" s="95"/>
      <c r="H37" s="95"/>
      <c r="I37" s="95"/>
      <c r="J37" s="95"/>
      <c r="K37" s="96"/>
      <c r="L37" s="44"/>
    </row>
    <row r="38" spans="1:13" ht="21.75" customHeight="1">
      <c r="A38" s="94"/>
      <c r="B38" s="95"/>
      <c r="C38" s="95"/>
      <c r="D38" s="139"/>
      <c r="E38" s="44"/>
      <c r="F38" s="44"/>
      <c r="G38" s="44"/>
      <c r="H38" s="44"/>
      <c r="I38" s="44"/>
      <c r="J38" s="44"/>
      <c r="K38" s="117"/>
      <c r="L38" s="44"/>
      <c r="M38" s="44"/>
    </row>
    <row r="39" spans="1:11" ht="21.75" customHeight="1">
      <c r="A39" s="94"/>
      <c r="B39" s="95"/>
      <c r="C39" s="95"/>
      <c r="D39" s="139"/>
      <c r="E39" s="44"/>
      <c r="F39" s="44"/>
      <c r="G39" s="44"/>
      <c r="H39" s="44"/>
      <c r="I39" s="44"/>
      <c r="J39" s="44"/>
      <c r="K39" s="117"/>
    </row>
    <row r="40" spans="1:11" ht="21.75" customHeight="1" thickBot="1">
      <c r="A40" s="108"/>
      <c r="B40" s="109"/>
      <c r="C40" s="109"/>
      <c r="D40" s="109"/>
      <c r="E40" s="109"/>
      <c r="F40" s="109"/>
      <c r="G40" s="109"/>
      <c r="H40" s="140" t="s">
        <v>239</v>
      </c>
      <c r="I40" s="109"/>
      <c r="J40" s="109"/>
      <c r="K40" s="110"/>
    </row>
    <row r="41" spans="1:11" ht="21.75" customHeight="1">
      <c r="A41" s="431" t="s">
        <v>240</v>
      </c>
      <c r="B41" s="383"/>
      <c r="C41" s="383"/>
      <c r="D41" s="383"/>
      <c r="E41" s="383"/>
      <c r="F41" s="383"/>
      <c r="G41" s="383"/>
      <c r="H41" s="383"/>
      <c r="I41" s="383"/>
      <c r="J41" s="383"/>
      <c r="K41" s="432"/>
    </row>
    <row r="42" spans="1:11" ht="21.75" customHeight="1">
      <c r="A42" s="94"/>
      <c r="B42" s="95"/>
      <c r="C42" s="95"/>
      <c r="D42" s="95"/>
      <c r="E42" s="95"/>
      <c r="F42" s="95"/>
      <c r="G42" s="95"/>
      <c r="H42" s="95"/>
      <c r="I42" s="95"/>
      <c r="J42" s="95"/>
      <c r="K42" s="96"/>
    </row>
    <row r="43" spans="1:11" ht="21.75" customHeight="1" thickBot="1">
      <c r="A43" s="141"/>
      <c r="B43" s="142"/>
      <c r="C43" s="142"/>
      <c r="D43" s="142"/>
      <c r="E43" s="142"/>
      <c r="F43" s="142"/>
      <c r="G43" s="142"/>
      <c r="H43" s="142"/>
      <c r="I43" s="142"/>
      <c r="J43" s="142"/>
      <c r="K43" s="143"/>
    </row>
    <row r="44" spans="1:11" ht="21" customHeight="1" thickTop="1">
      <c r="A44" s="95"/>
      <c r="B44" s="95"/>
      <c r="C44" s="95"/>
      <c r="D44" s="95"/>
      <c r="E44" s="95"/>
      <c r="F44" s="95"/>
      <c r="G44" s="95"/>
      <c r="H44" s="95"/>
      <c r="I44" s="95"/>
      <c r="J44" s="95"/>
      <c r="K44" s="95"/>
    </row>
    <row r="45" spans="1:11" ht="21.75" customHeight="1">
      <c r="A45" s="95"/>
      <c r="B45" s="95"/>
      <c r="C45" s="95"/>
      <c r="D45" s="95"/>
      <c r="E45" s="95"/>
      <c r="F45" s="95"/>
      <c r="G45" s="95"/>
      <c r="H45" s="95"/>
      <c r="I45" s="95"/>
      <c r="J45" s="95"/>
      <c r="K45" s="95"/>
    </row>
    <row r="46" spans="1:11" ht="21.75" customHeight="1">
      <c r="A46" s="95"/>
      <c r="B46" s="95"/>
      <c r="C46" s="95"/>
      <c r="D46" s="95"/>
      <c r="E46" s="95"/>
      <c r="F46" s="95"/>
      <c r="G46" s="95"/>
      <c r="H46" s="95"/>
      <c r="I46" s="95"/>
      <c r="J46" s="95"/>
      <c r="K46" s="95"/>
    </row>
    <row r="47" spans="1:11" ht="21" customHeight="1">
      <c r="A47" s="95"/>
      <c r="B47" s="95"/>
      <c r="C47" s="95"/>
      <c r="D47" s="95"/>
      <c r="E47" s="95"/>
      <c r="F47" s="95"/>
      <c r="G47" s="95"/>
      <c r="H47" s="95"/>
      <c r="I47" s="95"/>
      <c r="J47" s="95"/>
      <c r="K47" s="95"/>
    </row>
    <row r="48" spans="1:11" ht="21.75" customHeight="1">
      <c r="A48" s="95"/>
      <c r="B48" s="95"/>
      <c r="C48" s="95"/>
      <c r="D48" s="95"/>
      <c r="E48" s="95"/>
      <c r="F48" s="95"/>
      <c r="G48" s="95"/>
      <c r="H48" s="95"/>
      <c r="I48" s="95"/>
      <c r="J48" s="95"/>
      <c r="K48" s="95"/>
    </row>
    <row r="49" spans="1:11" ht="21.75" customHeight="1">
      <c r="A49" s="95"/>
      <c r="B49" s="95"/>
      <c r="C49" s="95"/>
      <c r="D49" s="95"/>
      <c r="E49" s="95"/>
      <c r="F49" s="95"/>
      <c r="G49" s="95"/>
      <c r="H49" s="95"/>
      <c r="I49" s="95"/>
      <c r="J49" s="95"/>
      <c r="K49" s="95"/>
    </row>
    <row r="50" spans="1:11" ht="21.75" customHeight="1">
      <c r="A50" s="95"/>
      <c r="B50" s="95"/>
      <c r="C50" s="95"/>
      <c r="D50" s="95"/>
      <c r="E50" s="95"/>
      <c r="F50" s="95"/>
      <c r="G50" s="95"/>
      <c r="H50" s="95"/>
      <c r="I50" s="95"/>
      <c r="J50" s="95"/>
      <c r="K50" s="95"/>
    </row>
    <row r="51" spans="1:11" ht="21.75" customHeight="1">
      <c r="A51" s="95"/>
      <c r="B51" s="95"/>
      <c r="C51" s="95"/>
      <c r="D51" s="95"/>
      <c r="E51" s="95"/>
      <c r="F51" s="95"/>
      <c r="G51" s="95"/>
      <c r="H51" s="95"/>
      <c r="I51" s="95"/>
      <c r="J51" s="95"/>
      <c r="K51" s="95"/>
    </row>
    <row r="52" spans="1:11" ht="21.75" customHeight="1">
      <c r="A52" s="95"/>
      <c r="B52" s="95"/>
      <c r="C52" s="95"/>
      <c r="D52" s="95"/>
      <c r="E52" s="95"/>
      <c r="F52" s="95"/>
      <c r="G52" s="95"/>
      <c r="H52" s="95"/>
      <c r="I52" s="95"/>
      <c r="J52" s="95"/>
      <c r="K52" s="95"/>
    </row>
    <row r="53" spans="1:11" ht="21.75" customHeight="1">
      <c r="A53" s="95"/>
      <c r="B53" s="95"/>
      <c r="C53" s="95"/>
      <c r="D53" s="95"/>
      <c r="E53" s="95"/>
      <c r="F53" s="95"/>
      <c r="G53" s="95"/>
      <c r="H53" s="95"/>
      <c r="I53" s="95"/>
      <c r="J53" s="95"/>
      <c r="K53" s="95"/>
    </row>
    <row r="54" spans="1:11" ht="21.75" customHeight="1">
      <c r="A54" s="95"/>
      <c r="B54" s="95"/>
      <c r="C54" s="95"/>
      <c r="D54" s="95"/>
      <c r="E54" s="95"/>
      <c r="F54" s="95"/>
      <c r="G54" s="95"/>
      <c r="H54" s="95"/>
      <c r="I54" s="95"/>
      <c r="J54" s="95"/>
      <c r="K54" s="95"/>
    </row>
    <row r="55" spans="1:11" ht="21.75" customHeight="1">
      <c r="A55" s="95"/>
      <c r="B55" s="95"/>
      <c r="C55" s="95"/>
      <c r="D55" s="95"/>
      <c r="E55" s="95"/>
      <c r="F55" s="95"/>
      <c r="G55" s="95"/>
      <c r="H55" s="95"/>
      <c r="I55" s="95"/>
      <c r="J55" s="95"/>
      <c r="K55" s="95"/>
    </row>
    <row r="56" spans="1:11" ht="21.75" customHeight="1">
      <c r="A56" s="95"/>
      <c r="B56" s="95"/>
      <c r="C56" s="95"/>
      <c r="D56" s="95"/>
      <c r="E56" s="95"/>
      <c r="F56" s="95"/>
      <c r="G56" s="95"/>
      <c r="H56" s="95"/>
      <c r="I56" s="95"/>
      <c r="J56" s="95"/>
      <c r="K56" s="95"/>
    </row>
    <row r="57" spans="1:11" ht="21.75" customHeight="1">
      <c r="A57" s="95"/>
      <c r="B57" s="95"/>
      <c r="C57" s="95"/>
      <c r="D57" s="95"/>
      <c r="E57" s="95"/>
      <c r="F57" s="95"/>
      <c r="G57" s="95"/>
      <c r="H57" s="95"/>
      <c r="I57" s="95"/>
      <c r="J57" s="95"/>
      <c r="K57" s="95"/>
    </row>
    <row r="58" spans="1:11" ht="14.25">
      <c r="A58" s="44"/>
      <c r="K58" s="44"/>
    </row>
    <row r="59" ht="14.25">
      <c r="K59" s="44"/>
    </row>
    <row r="60" ht="14.25">
      <c r="K60" s="44"/>
    </row>
    <row r="61" ht="14.25">
      <c r="K61" s="44"/>
    </row>
    <row r="62" ht="14.25">
      <c r="K62" s="44"/>
    </row>
    <row r="63" ht="14.25">
      <c r="K63" s="44"/>
    </row>
    <row r="64" ht="14.25">
      <c r="K64" s="44"/>
    </row>
    <row r="65" ht="14.25">
      <c r="K65" s="44"/>
    </row>
    <row r="66" ht="14.25">
      <c r="K66" s="44"/>
    </row>
    <row r="67" ht="14.25">
      <c r="K67" s="44"/>
    </row>
    <row r="68" ht="14.25">
      <c r="K68" s="44"/>
    </row>
    <row r="69" ht="14.25">
      <c r="K69" s="44"/>
    </row>
    <row r="70" ht="14.25">
      <c r="K70" s="44"/>
    </row>
    <row r="71" ht="14.25">
      <c r="K71" s="44"/>
    </row>
    <row r="72" ht="14.25">
      <c r="K72" s="44"/>
    </row>
    <row r="73" ht="14.25">
      <c r="K73" s="44"/>
    </row>
    <row r="74" ht="14.25">
      <c r="K74" s="44"/>
    </row>
    <row r="75" ht="14.25">
      <c r="K75" s="44"/>
    </row>
    <row r="76" ht="14.25">
      <c r="K76" s="44"/>
    </row>
    <row r="77" ht="14.25">
      <c r="K77" s="44"/>
    </row>
    <row r="78" ht="14.25">
      <c r="K78" s="44"/>
    </row>
    <row r="79" ht="14.25">
      <c r="K79" s="44"/>
    </row>
    <row r="80" ht="14.25">
      <c r="K80" s="44"/>
    </row>
    <row r="81" ht="14.25">
      <c r="K81" s="44"/>
    </row>
    <row r="82" ht="14.25">
      <c r="K82" s="44"/>
    </row>
    <row r="83" ht="14.25">
      <c r="K83" s="44"/>
    </row>
    <row r="84" ht="14.25">
      <c r="K84" s="44"/>
    </row>
    <row r="85" ht="14.25">
      <c r="K85" s="44"/>
    </row>
    <row r="86" ht="14.25">
      <c r="K86" s="44"/>
    </row>
    <row r="87" ht="14.25">
      <c r="K87" s="44"/>
    </row>
    <row r="88" ht="14.25">
      <c r="K88" s="44"/>
    </row>
    <row r="89" ht="14.25">
      <c r="K89" s="44"/>
    </row>
    <row r="90" ht="14.25">
      <c r="K90" s="44"/>
    </row>
    <row r="91" ht="14.25">
      <c r="K91" s="44"/>
    </row>
    <row r="92" ht="14.25">
      <c r="K92" s="44"/>
    </row>
    <row r="93" ht="14.25">
      <c r="K93" s="44"/>
    </row>
    <row r="94" ht="14.25">
      <c r="K94" s="44"/>
    </row>
    <row r="95" ht="14.25">
      <c r="K95" s="44"/>
    </row>
    <row r="96" ht="14.25">
      <c r="K96" s="44"/>
    </row>
    <row r="97" ht="14.25">
      <c r="K97" s="44"/>
    </row>
    <row r="98" ht="14.25">
      <c r="K98" s="44"/>
    </row>
  </sheetData>
  <sheetProtection/>
  <mergeCells count="9">
    <mergeCell ref="A1:K1"/>
    <mergeCell ref="A41:K41"/>
    <mergeCell ref="D27:G27"/>
    <mergeCell ref="D29:G29"/>
    <mergeCell ref="D31:G31"/>
    <mergeCell ref="D34:K34"/>
    <mergeCell ref="D21:K21"/>
    <mergeCell ref="D35:K35"/>
    <mergeCell ref="D32:K32"/>
  </mergeCells>
  <printOptions/>
  <pageMargins left="0.32" right="0.17" top="0.49" bottom="0.75" header="0.3" footer="0.3"/>
  <pageSetup horizontalDpi="300" verticalDpi="300" orientation="portrait" paperSize="5" scale="94" r:id="rId1"/>
</worksheet>
</file>

<file path=xl/worksheets/sheet6.xml><?xml version="1.0" encoding="utf-8"?>
<worksheet xmlns="http://schemas.openxmlformats.org/spreadsheetml/2006/main" xmlns:r="http://schemas.openxmlformats.org/officeDocument/2006/relationships">
  <dimension ref="A1:J33"/>
  <sheetViews>
    <sheetView zoomScalePageLayoutView="0" workbookViewId="0" topLeftCell="A10">
      <selection activeCell="B20" sqref="B20"/>
    </sheetView>
  </sheetViews>
  <sheetFormatPr defaultColWidth="11.7109375" defaultRowHeight="12.75" customHeight="1"/>
  <cols>
    <col min="1" max="1" width="10.28125" style="0" customWidth="1"/>
    <col min="2" max="2" width="5.57421875" style="0" customWidth="1"/>
    <col min="3" max="6" width="11.7109375" style="0" customWidth="1"/>
    <col min="7" max="7" width="7.421875" style="0" customWidth="1"/>
    <col min="8" max="8" width="5.7109375" style="0" customWidth="1"/>
    <col min="9" max="9" width="6.140625" style="0" customWidth="1"/>
    <col min="10" max="10" width="6.00390625" style="0" customWidth="1"/>
  </cols>
  <sheetData>
    <row r="1" spans="1:10" ht="30.75" customHeight="1" thickTop="1">
      <c r="A1" s="440" t="s">
        <v>241</v>
      </c>
      <c r="B1" s="441"/>
      <c r="C1" s="441"/>
      <c r="D1" s="441"/>
      <c r="E1" s="441"/>
      <c r="F1" s="441"/>
      <c r="G1" s="441"/>
      <c r="H1" s="441"/>
      <c r="I1" s="441"/>
      <c r="J1" s="442"/>
    </row>
    <row r="2" spans="1:10" ht="24.75" customHeight="1">
      <c r="A2" s="443" t="s">
        <v>242</v>
      </c>
      <c r="B2" s="444"/>
      <c r="C2" s="444"/>
      <c r="D2" s="444"/>
      <c r="E2" s="444"/>
      <c r="F2" s="444"/>
      <c r="G2" s="444"/>
      <c r="H2" s="444"/>
      <c r="I2" s="444"/>
      <c r="J2" s="445"/>
    </row>
    <row r="3" spans="1:10" ht="25.5" customHeight="1">
      <c r="A3" s="446" t="s">
        <v>243</v>
      </c>
      <c r="B3" s="447"/>
      <c r="C3" s="447"/>
      <c r="D3" s="447"/>
      <c r="E3" s="447"/>
      <c r="F3" s="447"/>
      <c r="G3" s="447"/>
      <c r="H3" s="447"/>
      <c r="I3" s="447"/>
      <c r="J3" s="448"/>
    </row>
    <row r="4" spans="1:10" ht="23.25" customHeight="1">
      <c r="A4" s="114" t="s">
        <v>244</v>
      </c>
      <c r="B4" s="44"/>
      <c r="C4" s="449" t="str">
        <f>'FORM 47'!F9</f>
        <v>07010308063</v>
      </c>
      <c r="D4" s="450"/>
      <c r="E4" s="44" t="s">
        <v>245</v>
      </c>
      <c r="F4" s="44"/>
      <c r="G4" s="20">
        <f>'FORM 47'!F7</f>
        <v>0</v>
      </c>
      <c r="H4" s="20">
        <f>'FORM 47'!G7</f>
        <v>7</v>
      </c>
      <c r="I4" s="20">
        <f>'FORM 47'!H7</f>
        <v>0</v>
      </c>
      <c r="J4" s="20">
        <f>'FORM 47'!I7</f>
        <v>1</v>
      </c>
    </row>
    <row r="5" spans="1:10" ht="23.25" customHeight="1">
      <c r="A5" s="114"/>
      <c r="B5" s="44"/>
      <c r="C5" s="44"/>
      <c r="D5" s="44"/>
      <c r="E5" s="44"/>
      <c r="F5" s="44"/>
      <c r="G5" s="44"/>
      <c r="H5" s="44"/>
      <c r="I5" s="44"/>
      <c r="J5" s="117"/>
    </row>
    <row r="6" spans="1:10" ht="12.75" customHeight="1">
      <c r="A6" s="114" t="s">
        <v>261</v>
      </c>
      <c r="B6" s="44"/>
      <c r="C6" s="44" t="str">
        <f>'FORM 47'!F11</f>
        <v>M.E.O,MANDAL PARISHAD, NIDAMARRU</v>
      </c>
      <c r="D6" s="44"/>
      <c r="E6" s="44"/>
      <c r="F6" s="44" t="s">
        <v>246</v>
      </c>
      <c r="G6" s="44"/>
      <c r="H6" s="44" t="str">
        <f>DATA!B15</f>
        <v>STO,DARSI</v>
      </c>
      <c r="I6" s="44"/>
      <c r="J6" s="117"/>
    </row>
    <row r="7" spans="1:10" ht="12.75" customHeight="1">
      <c r="A7" s="114"/>
      <c r="B7" s="44"/>
      <c r="C7" s="44"/>
      <c r="D7" s="44"/>
      <c r="E7" s="44"/>
      <c r="F7" s="44"/>
      <c r="G7" s="44"/>
      <c r="H7" s="44"/>
      <c r="I7" s="44"/>
      <c r="J7" s="117"/>
    </row>
    <row r="8" spans="1:10" ht="15.75" customHeight="1">
      <c r="A8" s="114" t="s">
        <v>247</v>
      </c>
      <c r="B8" s="44"/>
      <c r="C8" s="44"/>
      <c r="D8" s="44"/>
      <c r="E8" s="44"/>
      <c r="F8" s="44"/>
      <c r="G8" s="44"/>
      <c r="H8" s="44"/>
      <c r="I8" s="44"/>
      <c r="J8" s="117"/>
    </row>
    <row r="9" spans="1:10" ht="15.75" customHeight="1">
      <c r="A9" s="114" t="s">
        <v>248</v>
      </c>
      <c r="B9" s="44"/>
      <c r="C9" s="44"/>
      <c r="D9" s="44"/>
      <c r="E9" s="44"/>
      <c r="F9" s="44"/>
      <c r="G9" s="44"/>
      <c r="H9" s="44"/>
      <c r="I9" s="44"/>
      <c r="J9" s="117"/>
    </row>
    <row r="10" spans="1:10" ht="15.75" customHeight="1">
      <c r="A10" s="114" t="str">
        <f>DATA!B17</f>
        <v>STATE BANK OF INDIA, GANAPAVARAM</v>
      </c>
      <c r="B10" s="44"/>
      <c r="C10" s="44"/>
      <c r="D10" s="44"/>
      <c r="E10" s="44"/>
      <c r="F10" s="44"/>
      <c r="G10" s="44"/>
      <c r="H10" s="44"/>
      <c r="I10" s="44"/>
      <c r="J10" s="117"/>
    </row>
    <row r="11" spans="1:10" ht="15.75" customHeight="1">
      <c r="A11" s="114"/>
      <c r="B11" s="44"/>
      <c r="C11" s="44"/>
      <c r="D11" s="44"/>
      <c r="E11" s="44"/>
      <c r="F11" s="44"/>
      <c r="G11" s="44"/>
      <c r="H11" s="44"/>
      <c r="I11" s="44"/>
      <c r="J11" s="117"/>
    </row>
    <row r="12" spans="1:10" ht="15.75" customHeight="1">
      <c r="A12" s="114"/>
      <c r="B12" s="44"/>
      <c r="C12" s="44"/>
      <c r="D12" s="44"/>
      <c r="E12" s="44"/>
      <c r="F12" s="44"/>
      <c r="G12" s="44"/>
      <c r="H12" s="44"/>
      <c r="I12" s="44"/>
      <c r="J12" s="117"/>
    </row>
    <row r="13" spans="1:10" ht="15.75" customHeight="1">
      <c r="A13" s="114" t="s">
        <v>249</v>
      </c>
      <c r="B13" s="44"/>
      <c r="C13" s="44"/>
      <c r="D13" s="44"/>
      <c r="E13" s="44"/>
      <c r="F13" s="44"/>
      <c r="G13" s="44"/>
      <c r="H13" s="437">
        <f>'FORM 47'!H56</f>
        <v>1504</v>
      </c>
      <c r="I13" s="438"/>
      <c r="J13" s="439"/>
    </row>
    <row r="14" spans="1:10" ht="15.75" customHeight="1">
      <c r="A14" s="114"/>
      <c r="B14" s="44"/>
      <c r="C14" s="44"/>
      <c r="D14" s="44"/>
      <c r="E14" s="44"/>
      <c r="F14" s="44"/>
      <c r="G14" s="44"/>
      <c r="H14" s="44"/>
      <c r="I14" s="44"/>
      <c r="J14" s="117"/>
    </row>
    <row r="15" spans="1:10" ht="15.75" customHeight="1">
      <c r="A15" s="114" t="s">
        <v>250</v>
      </c>
      <c r="B15" s="44"/>
      <c r="C15" s="144"/>
      <c r="D15" s="145"/>
      <c r="E15" s="145"/>
      <c r="F15" s="145"/>
      <c r="G15" s="145"/>
      <c r="H15" s="145"/>
      <c r="I15" s="145"/>
      <c r="J15" s="146"/>
    </row>
    <row r="16" spans="1:10" ht="15.75" customHeight="1">
      <c r="A16" s="114"/>
      <c r="B16" s="44"/>
      <c r="C16" s="44"/>
      <c r="D16" s="44"/>
      <c r="E16" s="44"/>
      <c r="F16" s="44"/>
      <c r="G16" s="44"/>
      <c r="H16" s="44"/>
      <c r="I16" s="44"/>
      <c r="J16" s="117"/>
    </row>
    <row r="17" spans="1:10" ht="15.75" customHeight="1">
      <c r="A17" s="114" t="s">
        <v>251</v>
      </c>
      <c r="B17" s="44"/>
      <c r="C17" s="44"/>
      <c r="D17" s="44"/>
      <c r="E17" s="44"/>
      <c r="F17" s="44"/>
      <c r="G17" s="44"/>
      <c r="H17" s="44"/>
      <c r="I17" s="44"/>
      <c r="J17" s="117"/>
    </row>
    <row r="18" spans="1:10" ht="15.75" customHeight="1">
      <c r="A18" s="114"/>
      <c r="B18" s="44"/>
      <c r="C18" s="44"/>
      <c r="D18" s="44"/>
      <c r="E18" s="44"/>
      <c r="F18" s="44"/>
      <c r="G18" s="44"/>
      <c r="H18" s="44"/>
      <c r="I18" s="44"/>
      <c r="J18" s="117"/>
    </row>
    <row r="19" spans="1:10" ht="15.75" customHeight="1">
      <c r="A19" s="147" t="s">
        <v>252</v>
      </c>
      <c r="B19" s="148" t="str">
        <f>DATA!B27&amp;", "&amp;DATA!B28</f>
        <v>K.S.N.RAJU, S.G.T</v>
      </c>
      <c r="C19" s="148"/>
      <c r="D19" s="148"/>
      <c r="E19" s="148"/>
      <c r="F19" s="44" t="s">
        <v>253</v>
      </c>
      <c r="G19" s="44"/>
      <c r="H19" s="148"/>
      <c r="I19" s="148"/>
      <c r="J19" s="117"/>
    </row>
    <row r="20" spans="1:10" ht="15.75" customHeight="1">
      <c r="A20" s="114"/>
      <c r="B20" s="44"/>
      <c r="C20" s="44"/>
      <c r="D20" s="44"/>
      <c r="E20" s="44"/>
      <c r="F20" s="44"/>
      <c r="G20" s="44"/>
      <c r="H20" s="44"/>
      <c r="I20" s="44"/>
      <c r="J20" s="117"/>
    </row>
    <row r="21" spans="1:10" ht="15.75" customHeight="1">
      <c r="A21" s="114" t="str">
        <f>DATA!B4</f>
        <v>MANDAL PARISHAD, NIDAMARRU</v>
      </c>
      <c r="B21" s="44"/>
      <c r="C21" s="44"/>
      <c r="D21" s="44"/>
      <c r="E21" s="44"/>
      <c r="F21" s="44"/>
      <c r="G21" s="44"/>
      <c r="H21" s="44"/>
      <c r="I21" s="44"/>
      <c r="J21" s="117"/>
    </row>
    <row r="22" spans="1:10" ht="15.75" customHeight="1">
      <c r="A22" s="114"/>
      <c r="B22" s="44"/>
      <c r="C22" s="44"/>
      <c r="D22" s="44"/>
      <c r="E22" s="44"/>
      <c r="F22" s="44"/>
      <c r="G22" s="44"/>
      <c r="H22" s="44"/>
      <c r="I22" s="44"/>
      <c r="J22" s="117"/>
    </row>
    <row r="23" spans="1:10" ht="15.75" customHeight="1">
      <c r="A23" s="114" t="s">
        <v>254</v>
      </c>
      <c r="B23" s="44"/>
      <c r="C23" s="44"/>
      <c r="D23" s="44"/>
      <c r="E23" s="44"/>
      <c r="F23" s="44" t="s">
        <v>255</v>
      </c>
      <c r="G23" s="44"/>
      <c r="H23" s="44"/>
      <c r="I23" s="44"/>
      <c r="J23" s="117"/>
    </row>
    <row r="24" spans="1:10" ht="15.75" customHeight="1">
      <c r="A24" s="114"/>
      <c r="B24" s="44"/>
      <c r="C24" s="44"/>
      <c r="D24" s="44"/>
      <c r="E24" s="44"/>
      <c r="F24" s="44"/>
      <c r="G24" s="44"/>
      <c r="H24" s="44"/>
      <c r="I24" s="44"/>
      <c r="J24" s="117"/>
    </row>
    <row r="25" spans="1:10" ht="15.75" customHeight="1">
      <c r="A25" s="114" t="s">
        <v>256</v>
      </c>
      <c r="B25" s="44"/>
      <c r="C25" s="44"/>
      <c r="D25" s="44"/>
      <c r="E25" s="44"/>
      <c r="F25" s="44" t="s">
        <v>257</v>
      </c>
      <c r="G25" s="44"/>
      <c r="H25" s="44"/>
      <c r="I25" s="44"/>
      <c r="J25" s="117"/>
    </row>
    <row r="26" spans="1:10" ht="15.75" customHeight="1">
      <c r="A26" s="114"/>
      <c r="B26" s="44"/>
      <c r="C26" s="44"/>
      <c r="D26" s="44"/>
      <c r="E26" s="44"/>
      <c r="F26" s="44"/>
      <c r="G26" s="44"/>
      <c r="H26" s="44"/>
      <c r="I26" s="44"/>
      <c r="J26" s="117"/>
    </row>
    <row r="27" spans="1:10" ht="15.75" customHeight="1">
      <c r="A27" s="114"/>
      <c r="B27" s="44" t="s">
        <v>258</v>
      </c>
      <c r="C27" s="44"/>
      <c r="D27" s="44"/>
      <c r="E27" s="44"/>
      <c r="F27" s="44"/>
      <c r="G27" s="44"/>
      <c r="H27" s="44"/>
      <c r="I27" s="44"/>
      <c r="J27" s="117"/>
    </row>
    <row r="28" spans="1:10" ht="15.75" customHeight="1">
      <c r="A28" s="114"/>
      <c r="B28" s="44"/>
      <c r="C28" s="44"/>
      <c r="D28" s="44"/>
      <c r="E28" s="44"/>
      <c r="F28" s="44"/>
      <c r="G28" s="44"/>
      <c r="H28" s="44"/>
      <c r="I28" s="44"/>
      <c r="J28" s="117"/>
    </row>
    <row r="29" spans="1:10" ht="15.75" customHeight="1">
      <c r="A29" s="114"/>
      <c r="B29" s="44"/>
      <c r="C29" s="44"/>
      <c r="D29" s="44"/>
      <c r="E29" s="44"/>
      <c r="F29" s="44"/>
      <c r="G29" s="44"/>
      <c r="H29" s="44"/>
      <c r="I29" s="44"/>
      <c r="J29" s="117"/>
    </row>
    <row r="30" spans="1:10" ht="15.75" customHeight="1">
      <c r="A30" s="114"/>
      <c r="B30" s="44"/>
      <c r="C30" s="44"/>
      <c r="D30" s="44"/>
      <c r="E30" s="44"/>
      <c r="F30" s="44"/>
      <c r="G30" s="44"/>
      <c r="H30" s="44"/>
      <c r="I30" s="44"/>
      <c r="J30" s="117"/>
    </row>
    <row r="31" spans="1:10" ht="15.75" customHeight="1">
      <c r="A31" s="114" t="s">
        <v>98</v>
      </c>
      <c r="B31" s="44"/>
      <c r="C31" s="44"/>
      <c r="D31" s="44"/>
      <c r="E31" s="44"/>
      <c r="F31" s="44" t="s">
        <v>259</v>
      </c>
      <c r="G31" s="44"/>
      <c r="H31" s="44"/>
      <c r="I31" s="44"/>
      <c r="J31" s="117"/>
    </row>
    <row r="32" spans="1:10" ht="15.75" customHeight="1">
      <c r="A32" s="114"/>
      <c r="B32" s="44"/>
      <c r="C32" s="44"/>
      <c r="D32" s="44"/>
      <c r="E32" s="44"/>
      <c r="F32" s="44" t="s">
        <v>260</v>
      </c>
      <c r="G32" s="44"/>
      <c r="H32" s="44"/>
      <c r="I32" s="44"/>
      <c r="J32" s="117"/>
    </row>
    <row r="33" spans="1:10" ht="15.75" customHeight="1" thickBot="1">
      <c r="A33" s="149"/>
      <c r="B33" s="150"/>
      <c r="C33" s="150"/>
      <c r="D33" s="150"/>
      <c r="E33" s="150"/>
      <c r="F33" s="150"/>
      <c r="G33" s="150"/>
      <c r="H33" s="150"/>
      <c r="I33" s="150"/>
      <c r="J33" s="151"/>
    </row>
    <row r="34" ht="12.75" customHeight="1" thickTop="1"/>
  </sheetData>
  <sheetProtection/>
  <mergeCells count="5">
    <mergeCell ref="H13:J13"/>
    <mergeCell ref="A1:J1"/>
    <mergeCell ref="A2:J2"/>
    <mergeCell ref="A3:J3"/>
    <mergeCell ref="C4:D4"/>
  </mergeCells>
  <printOptions/>
  <pageMargins left="0.42" right="0.7" top="0.75" bottom="0.75" header="0.3" footer="0.3"/>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R40"/>
  <sheetViews>
    <sheetView zoomScalePageLayoutView="0" workbookViewId="0" topLeftCell="A1">
      <selection activeCell="K21" sqref="K21"/>
    </sheetView>
  </sheetViews>
  <sheetFormatPr defaultColWidth="9.140625" defaultRowHeight="12.75" customHeight="1"/>
  <cols>
    <col min="1" max="1" width="11.00390625" style="0" customWidth="1"/>
    <col min="2" max="2" width="8.421875" style="0" customWidth="1"/>
    <col min="3" max="3" width="5.57421875" style="0" customWidth="1"/>
    <col min="4" max="4" width="5.140625" style="0" customWidth="1"/>
    <col min="5" max="5" width="4.00390625" style="0" customWidth="1"/>
    <col min="6" max="6" width="4.57421875" style="0" customWidth="1"/>
    <col min="7" max="7" width="4.421875" style="0" customWidth="1"/>
    <col min="8" max="8" width="5.8515625" style="0" customWidth="1"/>
    <col min="9" max="9" width="5.421875" style="0" customWidth="1"/>
    <col min="10" max="11" width="6.421875" style="0" customWidth="1"/>
    <col min="12" max="12" width="4.7109375" style="0" customWidth="1"/>
    <col min="13" max="13" width="4.28125" style="0" customWidth="1"/>
    <col min="14" max="15" width="5.140625" style="0" customWidth="1"/>
    <col min="16" max="17" width="4.421875" style="0" customWidth="1"/>
    <col min="18" max="18" width="5.00390625" style="0" customWidth="1"/>
  </cols>
  <sheetData>
    <row r="1" spans="1:18" ht="34.5" customHeight="1" thickBot="1" thickTop="1">
      <c r="A1" s="454" t="s">
        <v>262</v>
      </c>
      <c r="B1" s="455"/>
      <c r="C1" s="455"/>
      <c r="D1" s="455"/>
      <c r="E1" s="455"/>
      <c r="F1" s="455"/>
      <c r="G1" s="455"/>
      <c r="H1" s="455"/>
      <c r="I1" s="455"/>
      <c r="J1" s="455"/>
      <c r="K1" s="455"/>
      <c r="L1" s="455"/>
      <c r="M1" s="455"/>
      <c r="N1" s="455"/>
      <c r="O1" s="455"/>
      <c r="P1" s="455"/>
      <c r="Q1" s="455"/>
      <c r="R1" s="456"/>
    </row>
    <row r="2" spans="1:18" ht="27.75" customHeight="1" thickTop="1">
      <c r="A2" s="454" t="s">
        <v>263</v>
      </c>
      <c r="B2" s="455"/>
      <c r="C2" s="455"/>
      <c r="D2" s="455"/>
      <c r="E2" s="455"/>
      <c r="F2" s="455"/>
      <c r="G2" s="455"/>
      <c r="H2" s="455"/>
      <c r="I2" s="455"/>
      <c r="J2" s="455"/>
      <c r="K2" s="455"/>
      <c r="L2" s="455"/>
      <c r="M2" s="455"/>
      <c r="N2" s="455"/>
      <c r="O2" s="455"/>
      <c r="P2" s="455"/>
      <c r="Q2" s="455"/>
      <c r="R2" s="456"/>
    </row>
    <row r="3" spans="1:18" ht="19.5" customHeight="1">
      <c r="A3" s="114" t="s">
        <v>264</v>
      </c>
      <c r="B3" s="20">
        <f>'FORM-101'!G4</f>
        <v>0</v>
      </c>
      <c r="C3" s="20">
        <f>'FORM-101'!H4</f>
        <v>7</v>
      </c>
      <c r="D3" s="20">
        <f>'FORM-101'!I4</f>
        <v>0</v>
      </c>
      <c r="E3" s="20">
        <f>'FORM-101'!J4</f>
        <v>1</v>
      </c>
      <c r="F3" s="44"/>
      <c r="G3" s="44"/>
      <c r="H3" s="44"/>
      <c r="I3" s="44"/>
      <c r="J3" s="44"/>
      <c r="K3" s="152" t="s">
        <v>265</v>
      </c>
      <c r="L3" s="153"/>
      <c r="M3" s="153"/>
      <c r="N3" s="153"/>
      <c r="O3" s="153"/>
      <c r="P3" s="154"/>
      <c r="R3" s="117"/>
    </row>
    <row r="4" spans="1:18" ht="19.5" customHeight="1">
      <c r="A4" s="114" t="s">
        <v>266</v>
      </c>
      <c r="B4" s="155"/>
      <c r="C4" s="95"/>
      <c r="D4" s="95"/>
      <c r="E4" s="95"/>
      <c r="F4" s="95"/>
      <c r="G4" s="95"/>
      <c r="H4" s="44"/>
      <c r="I4" s="44"/>
      <c r="J4" s="44"/>
      <c r="K4" s="156" t="s">
        <v>267</v>
      </c>
      <c r="L4" s="95"/>
      <c r="M4" s="95"/>
      <c r="N4" s="95"/>
      <c r="O4" s="157"/>
      <c r="P4" s="117"/>
      <c r="R4" s="117"/>
    </row>
    <row r="5" spans="1:18" ht="21" customHeight="1">
      <c r="A5" s="114" t="s">
        <v>268</v>
      </c>
      <c r="B5" s="449" t="str">
        <f>'FORM-101'!C4</f>
        <v>07010308063</v>
      </c>
      <c r="C5" s="458"/>
      <c r="D5" s="458"/>
      <c r="E5" s="458"/>
      <c r="F5" s="450"/>
      <c r="G5" s="44"/>
      <c r="H5" s="44"/>
      <c r="I5" s="44"/>
      <c r="J5" s="44"/>
      <c r="K5" s="158" t="s">
        <v>269</v>
      </c>
      <c r="L5" s="159"/>
      <c r="M5" s="92"/>
      <c r="N5" s="93"/>
      <c r="O5" s="93"/>
      <c r="P5" s="160"/>
      <c r="R5" s="117"/>
    </row>
    <row r="6" spans="1:18" ht="12.75" customHeight="1">
      <c r="A6" s="114"/>
      <c r="B6" s="44"/>
      <c r="C6" s="44"/>
      <c r="D6" s="44"/>
      <c r="E6" s="44"/>
      <c r="F6" s="44"/>
      <c r="G6" s="44"/>
      <c r="H6" s="44"/>
      <c r="I6" s="44"/>
      <c r="J6" s="44"/>
      <c r="K6" s="44"/>
      <c r="L6" s="44"/>
      <c r="M6" s="44"/>
      <c r="N6" s="44"/>
      <c r="O6" s="44"/>
      <c r="P6" s="44"/>
      <c r="Q6" s="44"/>
      <c r="R6" s="117"/>
    </row>
    <row r="7" spans="1:18" ht="12.75" customHeight="1">
      <c r="A7" s="114" t="s">
        <v>270</v>
      </c>
      <c r="B7" s="44"/>
      <c r="C7" s="295" t="str">
        <f>'FORM-101'!C6</f>
        <v>M.E.O,MANDAL PARISHAD, NIDAMARRU</v>
      </c>
      <c r="D7" s="148"/>
      <c r="E7" s="148"/>
      <c r="F7" s="148"/>
      <c r="G7" s="44"/>
      <c r="H7" s="44"/>
      <c r="I7" s="44"/>
      <c r="J7" s="44" t="s">
        <v>271</v>
      </c>
      <c r="K7" s="44"/>
      <c r="L7" s="44"/>
      <c r="M7" s="295" t="str">
        <f>DATA!B4</f>
        <v>MANDAL PARISHAD, NIDAMARRU</v>
      </c>
      <c r="N7" s="148"/>
      <c r="O7" s="148"/>
      <c r="P7" s="148"/>
      <c r="Q7" s="148"/>
      <c r="R7" s="161"/>
    </row>
    <row r="8" spans="1:18" ht="12.75" customHeight="1">
      <c r="A8" s="114"/>
      <c r="B8" s="44"/>
      <c r="C8" s="44"/>
      <c r="D8" s="44"/>
      <c r="E8" s="44"/>
      <c r="F8" s="44"/>
      <c r="G8" s="44"/>
      <c r="H8" s="44"/>
      <c r="I8" s="44"/>
      <c r="J8" s="44"/>
      <c r="K8" s="44"/>
      <c r="L8" s="44"/>
      <c r="M8" s="44"/>
      <c r="N8" s="44"/>
      <c r="O8" s="44"/>
      <c r="P8" s="44"/>
      <c r="Q8" s="44"/>
      <c r="R8" s="117"/>
    </row>
    <row r="9" spans="1:18" ht="12.75" customHeight="1">
      <c r="A9" s="114" t="s">
        <v>272</v>
      </c>
      <c r="B9" s="44"/>
      <c r="C9" s="459" t="str">
        <f>DATA!B18&amp;DATA!C18&amp;DATA!D18&amp;DATA!E18</f>
        <v>0890</v>
      </c>
      <c r="D9" s="344"/>
      <c r="E9" s="345"/>
      <c r="F9" s="44"/>
      <c r="G9" s="44"/>
      <c r="H9" s="44"/>
      <c r="I9" s="44"/>
      <c r="J9" s="44" t="s">
        <v>273</v>
      </c>
      <c r="K9" s="148" t="str">
        <f>DATA!B17</f>
        <v>STATE BANK OF INDIA, GANAPAVARAM</v>
      </c>
      <c r="L9" s="148"/>
      <c r="M9" s="148"/>
      <c r="N9" s="148"/>
      <c r="O9" s="148"/>
      <c r="P9" s="148"/>
      <c r="Q9" s="148"/>
      <c r="R9" s="161"/>
    </row>
    <row r="10" spans="1:18" ht="12.75" customHeight="1">
      <c r="A10" s="114"/>
      <c r="B10" s="44"/>
      <c r="C10" s="44"/>
      <c r="D10" s="44"/>
      <c r="E10" s="44"/>
      <c r="F10" s="44"/>
      <c r="G10" s="44"/>
      <c r="H10" s="44"/>
      <c r="I10" s="44"/>
      <c r="J10" s="44"/>
      <c r="K10" s="44"/>
      <c r="L10" s="44"/>
      <c r="M10" s="44"/>
      <c r="N10" s="44"/>
      <c r="O10" s="44"/>
      <c r="P10" s="44"/>
      <c r="Q10" s="44"/>
      <c r="R10" s="117"/>
    </row>
    <row r="11" spans="1:18" ht="12.75" customHeight="1">
      <c r="A11" s="114" t="s">
        <v>274</v>
      </c>
      <c r="B11" s="44"/>
      <c r="C11" s="19">
        <f>'FORM 47'!H23</f>
        <v>2</v>
      </c>
      <c r="D11" s="19">
        <f>'FORM 47'!I23</f>
        <v>2</v>
      </c>
      <c r="E11" s="19">
        <f>'FORM 47'!J23</f>
        <v>0</v>
      </c>
      <c r="F11" s="19">
        <f>'FORM 47'!K23</f>
        <v>2</v>
      </c>
      <c r="G11" s="44"/>
      <c r="H11" s="19">
        <f>'FORM 47'!J25</f>
        <v>0</v>
      </c>
      <c r="I11" s="19">
        <f>'FORM 47'!K25</f>
        <v>1</v>
      </c>
      <c r="J11" s="120"/>
      <c r="K11" s="19">
        <f>'FORM 47'!I27</f>
        <v>1</v>
      </c>
      <c r="L11" s="19">
        <f>'FORM 47'!J27</f>
        <v>0</v>
      </c>
      <c r="M11" s="19">
        <f>'FORM 47'!K27</f>
        <v>3</v>
      </c>
      <c r="N11" s="120"/>
      <c r="O11" s="19" t="s">
        <v>156</v>
      </c>
      <c r="P11" s="19" t="s">
        <v>156</v>
      </c>
      <c r="Q11" s="162"/>
      <c r="R11" s="117"/>
    </row>
    <row r="12" spans="1:18" ht="12.75" customHeight="1">
      <c r="A12" s="114"/>
      <c r="B12" s="44"/>
      <c r="C12" s="362" t="s">
        <v>275</v>
      </c>
      <c r="D12" s="362"/>
      <c r="E12" s="362"/>
      <c r="F12" s="362"/>
      <c r="G12" s="44"/>
      <c r="H12" s="362" t="s">
        <v>276</v>
      </c>
      <c r="I12" s="362"/>
      <c r="J12" s="44"/>
      <c r="K12" s="362" t="s">
        <v>277</v>
      </c>
      <c r="L12" s="362"/>
      <c r="M12" s="362"/>
      <c r="N12" s="44"/>
      <c r="O12" s="362" t="s">
        <v>278</v>
      </c>
      <c r="P12" s="362"/>
      <c r="Q12" s="162"/>
      <c r="R12" s="117"/>
    </row>
    <row r="13" spans="1:18" ht="12.75" customHeight="1">
      <c r="A13" s="114"/>
      <c r="B13" s="44"/>
      <c r="C13" s="44"/>
      <c r="D13" s="44"/>
      <c r="E13" s="44"/>
      <c r="F13" s="44"/>
      <c r="G13" s="44"/>
      <c r="H13" s="44"/>
      <c r="I13" s="44"/>
      <c r="J13" s="44"/>
      <c r="K13" s="44"/>
      <c r="L13" s="44"/>
      <c r="M13" s="44"/>
      <c r="N13" s="44"/>
      <c r="O13" s="44"/>
      <c r="P13" s="44"/>
      <c r="Q13" s="44"/>
      <c r="R13" s="117"/>
    </row>
    <row r="14" spans="1:18" ht="12.75" customHeight="1">
      <c r="A14" s="114"/>
      <c r="B14" s="44"/>
      <c r="C14" s="19">
        <f>'FORM 47'!J31</f>
        <v>0</v>
      </c>
      <c r="D14" s="19">
        <f>'FORM 47'!K31</f>
        <v>4</v>
      </c>
      <c r="E14" s="44"/>
      <c r="F14" s="44"/>
      <c r="G14" s="44"/>
      <c r="H14" s="19">
        <f>'FORM 47'!I33</f>
        <v>0</v>
      </c>
      <c r="I14" s="19">
        <f>'FORM 47'!J33</f>
        <v>1</v>
      </c>
      <c r="J14" s="19">
        <f>'FORM 47'!K33</f>
        <v>0</v>
      </c>
      <c r="K14" s="44"/>
      <c r="L14" s="19" t="s">
        <v>156</v>
      </c>
      <c r="M14" s="19" t="s">
        <v>156</v>
      </c>
      <c r="N14" s="19" t="s">
        <v>156</v>
      </c>
      <c r="O14" s="44"/>
      <c r="P14" s="44"/>
      <c r="Q14" s="44"/>
      <c r="R14" s="117"/>
    </row>
    <row r="15" spans="1:18" ht="12.75" customHeight="1">
      <c r="A15" s="114"/>
      <c r="B15" s="44"/>
      <c r="C15" s="457" t="s">
        <v>279</v>
      </c>
      <c r="D15" s="457"/>
      <c r="E15" s="44"/>
      <c r="F15" s="44"/>
      <c r="G15" s="44"/>
      <c r="H15" s="362" t="s">
        <v>280</v>
      </c>
      <c r="I15" s="362"/>
      <c r="J15" s="362"/>
      <c r="K15" s="44"/>
      <c r="L15" s="362" t="s">
        <v>281</v>
      </c>
      <c r="M15" s="362"/>
      <c r="N15" s="362"/>
      <c r="O15" s="44"/>
      <c r="P15" s="44"/>
      <c r="Q15" s="44"/>
      <c r="R15" s="117"/>
    </row>
    <row r="16" spans="1:18" ht="12.75" customHeight="1">
      <c r="A16" s="114"/>
      <c r="B16" s="44"/>
      <c r="C16" s="44"/>
      <c r="D16" s="44"/>
      <c r="E16" s="44"/>
      <c r="F16" s="44"/>
      <c r="G16" s="44"/>
      <c r="H16" s="44"/>
      <c r="I16" s="44"/>
      <c r="J16" s="44"/>
      <c r="K16" s="44"/>
      <c r="L16" s="44"/>
      <c r="M16" s="44"/>
      <c r="N16" s="44"/>
      <c r="O16" s="44"/>
      <c r="P16" s="44"/>
      <c r="Q16" s="44"/>
      <c r="R16" s="117"/>
    </row>
    <row r="17" spans="1:18" ht="12.75" customHeight="1">
      <c r="A17" s="114" t="s">
        <v>282</v>
      </c>
      <c r="B17" s="44"/>
      <c r="C17" s="340" t="s">
        <v>283</v>
      </c>
      <c r="D17" s="44" t="s">
        <v>284</v>
      </c>
      <c r="E17" s="44"/>
      <c r="F17" s="44"/>
      <c r="G17" s="340" t="s">
        <v>285</v>
      </c>
      <c r="H17" s="44"/>
      <c r="I17" s="44" t="s">
        <v>286</v>
      </c>
      <c r="J17" s="44"/>
      <c r="K17" s="44"/>
      <c r="L17" s="44"/>
      <c r="M17" s="340">
        <v>2</v>
      </c>
      <c r="N17" s="340">
        <v>2</v>
      </c>
      <c r="O17" s="340">
        <v>0</v>
      </c>
      <c r="P17" s="340">
        <v>2</v>
      </c>
      <c r="Q17" s="118"/>
      <c r="R17" s="117"/>
    </row>
    <row r="18" spans="1:18" ht="12.75" customHeight="1">
      <c r="A18" s="114" t="s">
        <v>287</v>
      </c>
      <c r="B18" s="44"/>
      <c r="C18" s="340"/>
      <c r="D18" s="44" t="s">
        <v>288</v>
      </c>
      <c r="E18" s="44"/>
      <c r="F18" s="44"/>
      <c r="G18" s="340"/>
      <c r="H18" s="44"/>
      <c r="I18" s="44" t="s">
        <v>171</v>
      </c>
      <c r="J18" s="44"/>
      <c r="K18" s="44"/>
      <c r="L18" s="44"/>
      <c r="M18" s="340"/>
      <c r="N18" s="340"/>
      <c r="O18" s="340"/>
      <c r="P18" s="340"/>
      <c r="Q18" s="118"/>
      <c r="R18" s="117"/>
    </row>
    <row r="19" spans="1:18" ht="12.75" customHeight="1">
      <c r="A19" s="114"/>
      <c r="B19" s="44"/>
      <c r="C19" s="44"/>
      <c r="D19" s="44"/>
      <c r="E19" s="44"/>
      <c r="F19" s="44"/>
      <c r="G19" s="44"/>
      <c r="H19" s="44"/>
      <c r="I19" s="44"/>
      <c r="J19" s="44"/>
      <c r="K19" s="44"/>
      <c r="L19" s="44"/>
      <c r="M19" s="44"/>
      <c r="N19" s="44"/>
      <c r="O19" s="44"/>
      <c r="P19" s="44"/>
      <c r="Q19" s="44"/>
      <c r="R19" s="117"/>
    </row>
    <row r="20" spans="1:18" ht="12.75" customHeight="1">
      <c r="A20" s="114" t="s">
        <v>289</v>
      </c>
      <c r="B20" s="163">
        <f>'FORM 47'!H54</f>
        <v>12386</v>
      </c>
      <c r="C20" s="164" t="s">
        <v>290</v>
      </c>
      <c r="D20" s="164"/>
      <c r="E20" s="44"/>
      <c r="F20" s="451">
        <f>'FORM 47'!H55</f>
        <v>10882</v>
      </c>
      <c r="G20" s="452"/>
      <c r="H20" s="452"/>
      <c r="I20" s="148"/>
      <c r="J20" s="44" t="s">
        <v>291</v>
      </c>
      <c r="K20" s="453">
        <f>'FORM 47'!H56</f>
        <v>1504</v>
      </c>
      <c r="L20" s="453"/>
      <c r="M20" s="453"/>
      <c r="N20" s="453"/>
      <c r="O20" s="165"/>
      <c r="P20" s="148"/>
      <c r="Q20" s="44"/>
      <c r="R20" s="117"/>
    </row>
    <row r="21" spans="1:18" ht="12.75" customHeight="1">
      <c r="A21" s="114"/>
      <c r="B21" s="44"/>
      <c r="C21" s="44"/>
      <c r="D21" s="44"/>
      <c r="E21" s="44"/>
      <c r="F21" s="44"/>
      <c r="G21" s="44"/>
      <c r="H21" s="44"/>
      <c r="I21" s="44"/>
      <c r="J21" s="44"/>
      <c r="K21" s="44"/>
      <c r="L21" s="44"/>
      <c r="M21" s="44"/>
      <c r="N21" s="44"/>
      <c r="O21" s="44"/>
      <c r="P21" s="44"/>
      <c r="Q21" s="44"/>
      <c r="R21" s="117"/>
    </row>
    <row r="22" spans="1:18" ht="12.75" customHeight="1">
      <c r="A22" s="166" t="s">
        <v>292</v>
      </c>
      <c r="B22" s="148"/>
      <c r="C22" s="148"/>
      <c r="D22" s="148"/>
      <c r="E22" s="148"/>
      <c r="F22" s="148"/>
      <c r="G22" s="148"/>
      <c r="H22" s="148"/>
      <c r="I22" s="148"/>
      <c r="J22" s="148"/>
      <c r="K22" s="148"/>
      <c r="L22" s="148"/>
      <c r="M22" s="148"/>
      <c r="N22" s="148"/>
      <c r="O22" s="148"/>
      <c r="P22" s="148"/>
      <c r="Q22" s="44"/>
      <c r="R22" s="117"/>
    </row>
    <row r="23" spans="1:18" ht="22.5" customHeight="1">
      <c r="A23" s="114"/>
      <c r="B23" s="44"/>
      <c r="C23" s="44"/>
      <c r="D23" s="44"/>
      <c r="E23" s="44"/>
      <c r="F23" s="44"/>
      <c r="G23" s="44"/>
      <c r="H23" s="44"/>
      <c r="I23" s="44"/>
      <c r="J23" s="44"/>
      <c r="K23" s="44"/>
      <c r="L23" s="44"/>
      <c r="M23" s="44"/>
      <c r="N23" s="44"/>
      <c r="O23" s="44"/>
      <c r="P23" s="44"/>
      <c r="Q23" s="44"/>
      <c r="R23" s="117"/>
    </row>
    <row r="24" spans="1:18" ht="24" customHeight="1">
      <c r="A24" s="114" t="s">
        <v>293</v>
      </c>
      <c r="B24" s="44"/>
      <c r="C24" s="44"/>
      <c r="D24" s="44"/>
      <c r="E24" s="44"/>
      <c r="F24" s="44"/>
      <c r="G24" s="44"/>
      <c r="H24" s="44"/>
      <c r="I24" s="44"/>
      <c r="J24" s="44"/>
      <c r="K24" s="44"/>
      <c r="L24" s="44"/>
      <c r="M24" s="44"/>
      <c r="N24" s="44"/>
      <c r="O24" s="44"/>
      <c r="P24" s="44"/>
      <c r="Q24" s="44"/>
      <c r="R24" s="117"/>
    </row>
    <row r="25" spans="1:18" ht="12.75" customHeight="1">
      <c r="A25" s="114"/>
      <c r="B25" s="44"/>
      <c r="C25" s="44"/>
      <c r="D25" s="44"/>
      <c r="E25" s="44"/>
      <c r="F25" s="44"/>
      <c r="G25" s="44"/>
      <c r="H25" s="44"/>
      <c r="I25" s="44"/>
      <c r="J25" s="44"/>
      <c r="K25" s="44"/>
      <c r="L25" s="44"/>
      <c r="M25" s="44"/>
      <c r="N25" s="44"/>
      <c r="O25" s="44"/>
      <c r="P25" s="44"/>
      <c r="Q25" s="44"/>
      <c r="R25" s="117"/>
    </row>
    <row r="26" spans="1:18" ht="12.75" customHeight="1">
      <c r="A26" s="114" t="s">
        <v>294</v>
      </c>
      <c r="B26" s="44"/>
      <c r="C26" s="44"/>
      <c r="D26" s="44"/>
      <c r="E26" s="44"/>
      <c r="F26" s="44"/>
      <c r="G26" s="44"/>
      <c r="H26" s="44"/>
      <c r="I26" s="44"/>
      <c r="J26" s="44"/>
      <c r="K26" s="44"/>
      <c r="L26" s="44"/>
      <c r="M26" s="44"/>
      <c r="N26" s="44"/>
      <c r="O26" s="44"/>
      <c r="P26" s="44"/>
      <c r="Q26" s="44"/>
      <c r="R26" s="117"/>
    </row>
    <row r="27" spans="1:18" ht="12.75" customHeight="1">
      <c r="A27" s="114"/>
      <c r="B27" s="44"/>
      <c r="C27" s="44"/>
      <c r="D27" s="44"/>
      <c r="E27" s="44"/>
      <c r="F27" s="44"/>
      <c r="G27" s="44"/>
      <c r="H27" s="44"/>
      <c r="I27" s="44"/>
      <c r="J27" s="44"/>
      <c r="K27" s="44"/>
      <c r="L27" s="44"/>
      <c r="M27" s="44"/>
      <c r="N27" s="44"/>
      <c r="O27" s="44"/>
      <c r="P27" s="44"/>
      <c r="Q27" s="44"/>
      <c r="R27" s="117"/>
    </row>
    <row r="28" spans="1:18" ht="12.75" customHeight="1">
      <c r="A28" s="114" t="s">
        <v>295</v>
      </c>
      <c r="B28" s="44"/>
      <c r="C28" s="44"/>
      <c r="D28" s="44"/>
      <c r="E28" s="44"/>
      <c r="F28" s="44"/>
      <c r="G28" s="44"/>
      <c r="H28" s="44"/>
      <c r="I28" s="44"/>
      <c r="J28" s="44"/>
      <c r="K28" s="44"/>
      <c r="L28" s="44"/>
      <c r="M28" s="44"/>
      <c r="N28" s="44"/>
      <c r="O28" s="44"/>
      <c r="P28" s="44"/>
      <c r="Q28" s="44"/>
      <c r="R28" s="117"/>
    </row>
    <row r="29" spans="1:18" ht="12.75" customHeight="1">
      <c r="A29" s="114" t="s">
        <v>296</v>
      </c>
      <c r="B29" s="44"/>
      <c r="C29" s="44"/>
      <c r="D29" s="44"/>
      <c r="E29" s="44"/>
      <c r="F29" s="44"/>
      <c r="G29" s="44"/>
      <c r="H29" s="44"/>
      <c r="I29" s="44"/>
      <c r="J29" s="44"/>
      <c r="K29" s="44"/>
      <c r="L29" s="44"/>
      <c r="M29" s="44"/>
      <c r="N29" s="44"/>
      <c r="O29" s="44"/>
      <c r="P29" s="44"/>
      <c r="Q29" s="44"/>
      <c r="R29" s="117"/>
    </row>
    <row r="30" spans="1:18" ht="12.75" customHeight="1">
      <c r="A30" s="114"/>
      <c r="B30" s="44"/>
      <c r="C30" s="44"/>
      <c r="E30" s="167" t="s">
        <v>213</v>
      </c>
      <c r="F30" s="44"/>
      <c r="G30" s="44"/>
      <c r="H30" s="44"/>
      <c r="I30" s="44"/>
      <c r="J30" s="44"/>
      <c r="K30" s="44"/>
      <c r="L30" s="44"/>
      <c r="M30" s="44"/>
      <c r="N30" s="44"/>
      <c r="O30" s="44"/>
      <c r="P30" s="44"/>
      <c r="Q30" s="44"/>
      <c r="R30" s="117"/>
    </row>
    <row r="31" spans="1:18" ht="12.75" customHeight="1">
      <c r="A31" s="114"/>
      <c r="B31" s="44"/>
      <c r="C31" s="44"/>
      <c r="D31" s="44"/>
      <c r="E31" s="44"/>
      <c r="F31" s="44"/>
      <c r="G31" s="44"/>
      <c r="H31" s="44"/>
      <c r="I31" s="44"/>
      <c r="J31" s="44"/>
      <c r="K31" s="44"/>
      <c r="L31" s="44"/>
      <c r="M31" s="44"/>
      <c r="N31" s="44"/>
      <c r="O31" s="44"/>
      <c r="P31" s="44"/>
      <c r="Q31" s="44"/>
      <c r="R31" s="117"/>
    </row>
    <row r="32" spans="1:18" ht="12.75" customHeight="1">
      <c r="A32" s="114"/>
      <c r="B32" s="44"/>
      <c r="C32" s="44"/>
      <c r="D32" s="44"/>
      <c r="E32" s="44"/>
      <c r="F32" s="44"/>
      <c r="G32" s="44"/>
      <c r="H32" s="44"/>
      <c r="I32" s="44"/>
      <c r="J32" s="44"/>
      <c r="K32" s="44"/>
      <c r="L32" s="44"/>
      <c r="M32" s="44"/>
      <c r="N32" s="44"/>
      <c r="O32" s="44"/>
      <c r="P32" s="44"/>
      <c r="Q32" s="44"/>
      <c r="R32" s="117"/>
    </row>
    <row r="33" spans="1:18" ht="12.75" customHeight="1">
      <c r="A33" s="114" t="s">
        <v>297</v>
      </c>
      <c r="B33" s="44"/>
      <c r="C33" s="44"/>
      <c r="D33" s="44"/>
      <c r="E33" s="44"/>
      <c r="F33" s="44"/>
      <c r="G33" s="44" t="s">
        <v>258</v>
      </c>
      <c r="H33" s="44"/>
      <c r="I33" s="44"/>
      <c r="J33" s="44"/>
      <c r="K33" s="44" t="s">
        <v>298</v>
      </c>
      <c r="L33" s="44"/>
      <c r="M33" s="44"/>
      <c r="N33" s="44"/>
      <c r="O33" s="44"/>
      <c r="P33" s="44"/>
      <c r="Q33" s="44"/>
      <c r="R33" s="117"/>
    </row>
    <row r="34" spans="1:18" ht="12.75" customHeight="1">
      <c r="A34" s="114"/>
      <c r="B34" s="44"/>
      <c r="C34" s="44"/>
      <c r="D34" s="44"/>
      <c r="E34" s="44"/>
      <c r="F34" s="44"/>
      <c r="G34" s="44"/>
      <c r="H34" s="44"/>
      <c r="I34" s="44"/>
      <c r="J34" s="44"/>
      <c r="K34" s="44"/>
      <c r="L34" s="44"/>
      <c r="M34" s="44"/>
      <c r="N34" s="44"/>
      <c r="O34" s="44"/>
      <c r="P34" s="44"/>
      <c r="Q34" s="44"/>
      <c r="R34" s="117"/>
    </row>
    <row r="35" spans="1:18" ht="12.75" customHeight="1">
      <c r="A35" s="114"/>
      <c r="B35" s="44"/>
      <c r="C35" s="44"/>
      <c r="D35" s="44"/>
      <c r="E35" s="44"/>
      <c r="F35" s="44"/>
      <c r="G35" s="44"/>
      <c r="H35" s="44"/>
      <c r="I35" s="44"/>
      <c r="J35" s="44"/>
      <c r="K35" s="44"/>
      <c r="L35" s="44"/>
      <c r="M35" s="44"/>
      <c r="N35" s="44"/>
      <c r="O35" s="44"/>
      <c r="P35" s="44"/>
      <c r="Q35" s="44"/>
      <c r="R35" s="117"/>
    </row>
    <row r="36" spans="1:18" ht="12.75" customHeight="1">
      <c r="A36" s="114"/>
      <c r="B36" s="44"/>
      <c r="C36" s="44"/>
      <c r="D36" s="44"/>
      <c r="E36" s="44"/>
      <c r="F36" s="44"/>
      <c r="G36" s="44"/>
      <c r="H36" s="44"/>
      <c r="I36" s="44"/>
      <c r="J36" s="44"/>
      <c r="K36" s="44"/>
      <c r="L36" s="44"/>
      <c r="M36" s="44"/>
      <c r="N36" s="44"/>
      <c r="O36" s="44"/>
      <c r="P36" s="44"/>
      <c r="Q36" s="44"/>
      <c r="R36" s="117"/>
    </row>
    <row r="37" spans="1:18" ht="12.75" customHeight="1">
      <c r="A37" s="114"/>
      <c r="B37" s="44"/>
      <c r="C37" s="44"/>
      <c r="D37" s="44"/>
      <c r="E37" s="44"/>
      <c r="F37" s="44"/>
      <c r="G37" s="44"/>
      <c r="H37" s="44"/>
      <c r="I37" s="44"/>
      <c r="J37" s="44"/>
      <c r="K37" s="44"/>
      <c r="L37" s="44"/>
      <c r="M37" s="44"/>
      <c r="N37" s="44"/>
      <c r="O37" s="44"/>
      <c r="P37" s="44"/>
      <c r="Q37" s="44"/>
      <c r="R37" s="117"/>
    </row>
    <row r="38" spans="1:18" ht="12.75" customHeight="1">
      <c r="A38" s="114"/>
      <c r="B38" s="44"/>
      <c r="C38" s="44"/>
      <c r="D38" s="44"/>
      <c r="E38" s="44"/>
      <c r="F38" s="44"/>
      <c r="G38" s="44"/>
      <c r="H38" s="44"/>
      <c r="I38" s="44"/>
      <c r="J38" s="44"/>
      <c r="K38" s="44"/>
      <c r="L38" s="44"/>
      <c r="M38" s="44"/>
      <c r="N38" s="44"/>
      <c r="O38" s="44"/>
      <c r="P38" s="44"/>
      <c r="Q38" s="44"/>
      <c r="R38" s="117"/>
    </row>
    <row r="39" spans="1:18" ht="12.75" customHeight="1">
      <c r="A39" s="114"/>
      <c r="B39" s="44"/>
      <c r="C39" s="44"/>
      <c r="D39" s="44"/>
      <c r="E39" s="44"/>
      <c r="F39" s="44"/>
      <c r="G39" s="44"/>
      <c r="H39" s="44"/>
      <c r="I39" s="44"/>
      <c r="J39" s="44"/>
      <c r="K39" s="44"/>
      <c r="L39" s="44"/>
      <c r="M39" s="44"/>
      <c r="N39" s="44"/>
      <c r="O39" s="44"/>
      <c r="P39" s="44"/>
      <c r="Q39" s="44"/>
      <c r="R39" s="117"/>
    </row>
    <row r="40" spans="1:18" ht="12.75" customHeight="1" thickBot="1">
      <c r="A40" s="149"/>
      <c r="B40" s="150"/>
      <c r="C40" s="150"/>
      <c r="D40" s="150"/>
      <c r="E40" s="150"/>
      <c r="F40" s="150"/>
      <c r="G40" s="150"/>
      <c r="H40" s="150"/>
      <c r="I40" s="150"/>
      <c r="J40" s="150"/>
      <c r="K40" s="150"/>
      <c r="L40" s="150"/>
      <c r="M40" s="150"/>
      <c r="N40" s="150"/>
      <c r="O40" s="150"/>
      <c r="P40" s="150"/>
      <c r="Q40" s="150"/>
      <c r="R40" s="151"/>
    </row>
    <row r="41" ht="12.75" customHeight="1" thickTop="1"/>
  </sheetData>
  <sheetProtection/>
  <mergeCells count="19">
    <mergeCell ref="O17:O18"/>
    <mergeCell ref="G17:G18"/>
    <mergeCell ref="M17:M18"/>
    <mergeCell ref="N17:N18"/>
    <mergeCell ref="K12:M12"/>
    <mergeCell ref="B5:F5"/>
    <mergeCell ref="C9:E9"/>
    <mergeCell ref="C12:F12"/>
    <mergeCell ref="H12:I12"/>
    <mergeCell ref="P17:P18"/>
    <mergeCell ref="F20:H20"/>
    <mergeCell ref="K20:N20"/>
    <mergeCell ref="A1:R1"/>
    <mergeCell ref="A2:R2"/>
    <mergeCell ref="C15:D15"/>
    <mergeCell ref="H15:J15"/>
    <mergeCell ref="L15:N15"/>
    <mergeCell ref="C17:C18"/>
    <mergeCell ref="O12:P12"/>
  </mergeCells>
  <printOptions/>
  <pageMargins left="0.35" right="0.21" top="0.75" bottom="0.75" header="0.3" footer="0.3"/>
  <pageSetup horizontalDpi="300" verticalDpi="300" orientation="portrait" scale="93" r:id="rId2"/>
  <drawing r:id="rId1"/>
</worksheet>
</file>

<file path=xl/worksheets/sheet8.xml><?xml version="1.0" encoding="utf-8"?>
<worksheet xmlns="http://schemas.openxmlformats.org/spreadsheetml/2006/main" xmlns:r="http://schemas.openxmlformats.org/officeDocument/2006/relationships">
  <dimension ref="A1:E18"/>
  <sheetViews>
    <sheetView zoomScalePageLayoutView="0" workbookViewId="0" topLeftCell="A1">
      <selection activeCell="A3" sqref="A3:E4"/>
    </sheetView>
  </sheetViews>
  <sheetFormatPr defaultColWidth="9.140625" defaultRowHeight="15"/>
  <cols>
    <col min="1" max="1" width="6.00390625" style="0" customWidth="1"/>
    <col min="2" max="2" width="16.421875" style="0" customWidth="1"/>
    <col min="3" max="3" width="25.421875" style="0" customWidth="1"/>
    <col min="4" max="4" width="12.57421875" style="0" customWidth="1"/>
    <col min="5" max="5" width="20.8515625" style="0" customWidth="1"/>
  </cols>
  <sheetData>
    <row r="1" spans="1:5" ht="15" customHeight="1">
      <c r="A1" s="462" t="s">
        <v>299</v>
      </c>
      <c r="B1" s="463"/>
      <c r="C1" s="463"/>
      <c r="D1" s="463"/>
      <c r="E1" s="464"/>
    </row>
    <row r="2" spans="1:5" ht="38.25" customHeight="1">
      <c r="A2" s="465" t="s">
        <v>300</v>
      </c>
      <c r="B2" s="466"/>
      <c r="C2" s="466"/>
      <c r="D2" s="467" t="str">
        <f>DATA!B4</f>
        <v>MANDAL PARISHAD, NIDAMARRU</v>
      </c>
      <c r="E2" s="468"/>
    </row>
    <row r="3" spans="1:5" ht="14.25">
      <c r="A3" s="461" t="s">
        <v>301</v>
      </c>
      <c r="B3" s="461"/>
      <c r="C3" s="461"/>
      <c r="D3" s="461"/>
      <c r="E3" s="461"/>
    </row>
    <row r="4" spans="1:5" ht="33.75" customHeight="1">
      <c r="A4" s="461"/>
      <c r="B4" s="461"/>
      <c r="C4" s="461"/>
      <c r="D4" s="461"/>
      <c r="E4" s="461"/>
    </row>
    <row r="5" spans="1:5" ht="28.5">
      <c r="A5" s="168" t="s">
        <v>302</v>
      </c>
      <c r="B5" s="168" t="s">
        <v>303</v>
      </c>
      <c r="C5" s="168" t="s">
        <v>304</v>
      </c>
      <c r="D5" s="169" t="s">
        <v>305</v>
      </c>
      <c r="E5" s="170" t="s">
        <v>306</v>
      </c>
    </row>
    <row r="6" spans="1:5" ht="14.25">
      <c r="A6" s="171">
        <v>1</v>
      </c>
      <c r="B6" s="171">
        <v>2</v>
      </c>
      <c r="C6" s="171">
        <v>3</v>
      </c>
      <c r="D6" s="171">
        <v>4</v>
      </c>
      <c r="E6" s="172">
        <v>5</v>
      </c>
    </row>
    <row r="7" spans="1:5" ht="77.25" customHeight="1">
      <c r="A7" s="20">
        <v>1</v>
      </c>
      <c r="B7" s="20" t="str">
        <f>DATA!B6</f>
        <v>0706795</v>
      </c>
      <c r="C7" s="173" t="str">
        <f>DATA!B2</f>
        <v>V. HARI RAJA SEKHAR</v>
      </c>
      <c r="D7" s="174" t="str">
        <f>DATA!B3</f>
        <v>S.G.T</v>
      </c>
      <c r="E7" s="175">
        <f>Bill!AB24+Bill!AB31</f>
        <v>0</v>
      </c>
    </row>
    <row r="8" spans="1:5" ht="36" customHeight="1">
      <c r="A8" s="24"/>
      <c r="B8" s="469" t="s">
        <v>107</v>
      </c>
      <c r="C8" s="470"/>
      <c r="D8" s="471"/>
      <c r="E8" s="176">
        <f>E7</f>
        <v>0</v>
      </c>
    </row>
    <row r="13" ht="14.25">
      <c r="B13" s="15" t="s">
        <v>307</v>
      </c>
    </row>
    <row r="17" spans="4:5" ht="14.25">
      <c r="D17" s="460" t="s">
        <v>308</v>
      </c>
      <c r="E17" s="460"/>
    </row>
    <row r="18" spans="4:5" ht="14.25">
      <c r="D18" s="460"/>
      <c r="E18" s="460"/>
    </row>
  </sheetData>
  <sheetProtection/>
  <mergeCells count="7">
    <mergeCell ref="D17:E17"/>
    <mergeCell ref="D18:E18"/>
    <mergeCell ref="A3:E4"/>
    <mergeCell ref="A1:E1"/>
    <mergeCell ref="A2:C2"/>
    <mergeCell ref="D2:E2"/>
    <mergeCell ref="B8:D8"/>
  </mergeCells>
  <printOptions/>
  <pageMargins left="0.7" right="0.7" top="0.58"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F11"/>
  <sheetViews>
    <sheetView zoomScalePageLayoutView="0" workbookViewId="0" topLeftCell="A1">
      <selection activeCell="E4" sqref="E4"/>
    </sheetView>
  </sheetViews>
  <sheetFormatPr defaultColWidth="9.140625" defaultRowHeight="15"/>
  <cols>
    <col min="2" max="2" width="13.8515625" style="0" customWidth="1"/>
    <col min="3" max="3" width="11.421875" style="0" customWidth="1"/>
    <col min="4" max="4" width="22.8515625" style="0" customWidth="1"/>
    <col min="5" max="5" width="16.421875" style="0" customWidth="1"/>
    <col min="6" max="6" width="17.421875" style="0" customWidth="1"/>
  </cols>
  <sheetData>
    <row r="1" spans="1:6" ht="61.5" customHeight="1">
      <c r="A1" s="472" t="str">
        <f>CONCATENATE(" SCHEDULE FOR PAY FIXATION ARREARS TO BE CREDITED TO ",'[1]DATA'!E36)</f>
        <v> SCHEDULE FOR PAY FIXATION ARREARS TO BE CREDITED TO  ZPPF</v>
      </c>
      <c r="B1" s="472"/>
      <c r="C1" s="472"/>
      <c r="D1" s="472"/>
      <c r="E1" s="472"/>
      <c r="F1" s="472"/>
    </row>
    <row r="2" spans="1:6" ht="83.25" customHeight="1">
      <c r="A2" s="177" t="s">
        <v>309</v>
      </c>
      <c r="B2" s="177" t="str">
        <f>CONCATENATE('[1]DATA'!E36," A/c No.")</f>
        <v> ZPPF A/c No.</v>
      </c>
      <c r="C2" s="177" t="s">
        <v>303</v>
      </c>
      <c r="D2" s="178" t="s">
        <v>310</v>
      </c>
      <c r="E2" s="177" t="s">
        <v>311</v>
      </c>
      <c r="F2" s="177" t="s">
        <v>312</v>
      </c>
    </row>
    <row r="3" spans="1:6" s="182" customFormat="1" ht="75" customHeight="1">
      <c r="A3" s="179">
        <v>1</v>
      </c>
      <c r="B3" s="179">
        <f>DATA!B9</f>
        <v>16139</v>
      </c>
      <c r="C3" s="179" t="str">
        <f>DATA!B6</f>
        <v>0706795</v>
      </c>
      <c r="D3" s="180" t="str">
        <f>DATA!B2</f>
        <v>V. HARI RAJA SEKHAR</v>
      </c>
      <c r="E3" s="181">
        <f>Bill!AE24</f>
        <v>10882</v>
      </c>
      <c r="F3" s="181">
        <f>E3</f>
        <v>10882</v>
      </c>
    </row>
    <row r="7" ht="14.25">
      <c r="B7" s="15" t="s">
        <v>307</v>
      </c>
    </row>
    <row r="10" spans="5:6" ht="14.25">
      <c r="E10" s="460" t="s">
        <v>308</v>
      </c>
      <c r="F10" s="460"/>
    </row>
    <row r="11" spans="5:6" ht="14.25">
      <c r="E11" s="460"/>
      <c r="F11" s="460"/>
    </row>
  </sheetData>
  <sheetProtection/>
  <mergeCells count="3">
    <mergeCell ref="A1:F1"/>
    <mergeCell ref="E10:F10"/>
    <mergeCell ref="E11:F11"/>
  </mergeCells>
  <printOptions/>
  <pageMargins left="0.7" right="0.7" top="0.75" bottom="0.75" header="0.3" footer="0.3"/>
  <pageSetup horizontalDpi="300" verticalDpi="3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APTF ONGOLE</dc:creator>
  <cp:keywords/>
  <dc:description/>
  <cp:lastModifiedBy>admin</cp:lastModifiedBy>
  <cp:lastPrinted>2011-07-22T03:20:15Z</cp:lastPrinted>
  <dcterms:created xsi:type="dcterms:W3CDTF">2011-05-27T07:31:01Z</dcterms:created>
  <dcterms:modified xsi:type="dcterms:W3CDTF">2011-07-22T03:22:15Z</dcterms:modified>
  <cp:category/>
  <cp:version/>
  <cp:contentType/>
  <cp:contentStatus/>
</cp:coreProperties>
</file>